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autoCompressPictures="0"/>
  <bookViews>
    <workbookView xWindow="0" yWindow="0" windowWidth="19416" windowHeight="9192" firstSheet="7" activeTab="11"/>
  </bookViews>
  <sheets>
    <sheet name="Transactions" sheetId="13" r:id="rId1"/>
    <sheet name="Working Cash Flow" sheetId="19" r:id="rId2"/>
    <sheet name="Miles" sheetId="51" r:id="rId3"/>
    <sheet name="Customers" sheetId="56" r:id="rId4"/>
    <sheet name="Vendors" sheetId="35" r:id="rId5"/>
    <sheet name="Schedule C (P&amp;L)" sheetId="22" r:id="rId6"/>
    <sheet name="Cost of Goods Sold" sheetId="16" r:id="rId7"/>
    <sheet name="Schedule SE" sheetId="21" r:id="rId8"/>
    <sheet name="IRS Mileage" sheetId="20" state="hidden" r:id="rId9"/>
    <sheet name="Forecast Year 1" sheetId="25" r:id="rId10"/>
    <sheet name="Forecast Year 2" sheetId="28" r:id="rId11"/>
    <sheet name="Forecast Year 3" sheetId="29" r:id="rId12"/>
    <sheet name="Amortization Schedule" sheetId="30" r:id="rId13"/>
    <sheet name="Classifications" sheetId="15" state="hidden" r:id="rId14"/>
  </sheets>
  <externalReferences>
    <externalReference r:id="rId15"/>
  </externalReferences>
  <definedNames>
    <definedName name="_xlnm._FilterDatabase" localSheetId="3" hidden="1">Customers!$A$3:$H$19</definedName>
    <definedName name="_xlnm._FilterDatabase" localSheetId="2" hidden="1">Miles!$A$3:$H$19</definedName>
    <definedName name="_xlnm._FilterDatabase" localSheetId="0" hidden="1">Transactions!$A$3:$H$19</definedName>
    <definedName name="_xlcn.WorksheetConnection_CashFlowRecords.xlsxLedger" hidden="1">Ledger[]</definedName>
    <definedName name="AccountLookup" localSheetId="3">#REF!</definedName>
    <definedName name="AccountLookup" localSheetId="10">#REF!</definedName>
    <definedName name="AccountLookup" localSheetId="11">#REF!</definedName>
    <definedName name="AccountLookup" localSheetId="2">#REF!</definedName>
    <definedName name="AccountLookup" localSheetId="0">#REF!</definedName>
    <definedName name="AccountLookup">#REF!</definedName>
    <definedName name="Expenses" localSheetId="3">#REF!</definedName>
    <definedName name="Expenses" localSheetId="10">#REF!</definedName>
    <definedName name="Expenses" localSheetId="11">#REF!</definedName>
    <definedName name="Expenses" localSheetId="2">#REF!</definedName>
    <definedName name="Expenses">#REF!</definedName>
    <definedName name="InventoryMethod">Classifications!$A$41:$A$43</definedName>
    <definedName name="InvetoryMethod">Classifications!$A$41:$A$43</definedName>
    <definedName name="List">Classifications!$A$5:$A$28</definedName>
    <definedName name="Loan_Amount">'Amortization Schedule'!$C$5</definedName>
    <definedName name="Loan_Term">'Amortization Schedule'!$C$9</definedName>
    <definedName name="LoanAmount">'Amortization Schedule'!$C$8</definedName>
    <definedName name="MileageRate" localSheetId="3">#REF!</definedName>
    <definedName name="MileageRate" localSheetId="10">#REF!</definedName>
    <definedName name="MileageRate" localSheetId="11">#REF!</definedName>
    <definedName name="MileageRate" localSheetId="2">#REF!</definedName>
    <definedName name="MileageRate" localSheetId="0">#REF!</definedName>
    <definedName name="MileageRate">#REF!</definedName>
    <definedName name="Payment">'Amortization Schedule'!$C$11</definedName>
    <definedName name="Periods">Classifications!$B$49:$M$49</definedName>
    <definedName name="Rate">'Amortization Schedule'!$C$10</definedName>
    <definedName name="Total_Cost">'Amortization Schedule'!$F$10</definedName>
    <definedName name="Total_Interest">'Amortization Schedule'!$F$5</definedName>
    <definedName name="Total_Principal">'Amortization Schedule'!$F$9</definedName>
    <definedName name="YesNo">Classifications!$A$45:$A$47</definedName>
    <definedName name="YesNo?">Classifications!$A$45:$A$48</definedName>
  </definedNames>
  <calcPr calcId="144525" concurrentCalc="0"/>
  <webPublishing codePage="1252"/>
  <fileRecoveryPr repairLoad="1"/>
</workbook>
</file>

<file path=xl/calcChain.xml><?xml version="1.0" encoding="utf-8"?>
<calcChain xmlns="http://schemas.openxmlformats.org/spreadsheetml/2006/main">
  <c r="B3" i="22" l="1"/>
  <c r="G27" i="29"/>
  <c r="F27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N27" i="29"/>
  <c r="M27" i="29"/>
  <c r="L27" i="29"/>
  <c r="K27" i="29"/>
  <c r="J27" i="29"/>
  <c r="C29" i="28"/>
  <c r="N29" i="28"/>
  <c r="M29" i="28"/>
  <c r="L29" i="28"/>
  <c r="K29" i="28"/>
  <c r="J29" i="28"/>
  <c r="I29" i="28"/>
  <c r="H29" i="28"/>
  <c r="G29" i="28"/>
  <c r="F29" i="28"/>
  <c r="E29" i="28"/>
  <c r="D29" i="28"/>
  <c r="N28" i="28"/>
  <c r="M28" i="28"/>
  <c r="L28" i="28"/>
  <c r="K28" i="28"/>
  <c r="J28" i="28"/>
  <c r="I28" i="28"/>
  <c r="H28" i="28"/>
  <c r="G28" i="28"/>
  <c r="F28" i="28"/>
  <c r="E28" i="28"/>
  <c r="D28" i="28"/>
  <c r="C28" i="28"/>
  <c r="N27" i="28"/>
  <c r="M27" i="28"/>
  <c r="L27" i="28"/>
  <c r="K27" i="28"/>
  <c r="J27" i="28"/>
  <c r="G27" i="28"/>
  <c r="F27" i="28"/>
  <c r="C6" i="28"/>
  <c r="N7" i="28"/>
  <c r="M7" i="28"/>
  <c r="K7" i="28"/>
  <c r="N6" i="28"/>
  <c r="M6" i="28"/>
  <c r="I4" i="51"/>
  <c r="H4" i="51"/>
  <c r="H5" i="51"/>
  <c r="G5" i="51"/>
  <c r="J4" i="51"/>
  <c r="I5" i="51"/>
  <c r="C7" i="30"/>
  <c r="C8" i="30"/>
  <c r="C11" i="30"/>
  <c r="A1" i="30"/>
  <c r="N8" i="29"/>
  <c r="N31" i="29"/>
  <c r="N33" i="29"/>
  <c r="N44" i="29"/>
  <c r="M8" i="29"/>
  <c r="M31" i="29"/>
  <c r="M33" i="29"/>
  <c r="M44" i="29"/>
  <c r="L8" i="29"/>
  <c r="L31" i="29"/>
  <c r="L33" i="29"/>
  <c r="L44" i="29"/>
  <c r="K8" i="29"/>
  <c r="K31" i="29"/>
  <c r="K33" i="29"/>
  <c r="K44" i="29"/>
  <c r="J8" i="29"/>
  <c r="J31" i="29"/>
  <c r="J33" i="29"/>
  <c r="J44" i="29"/>
  <c r="I8" i="29"/>
  <c r="I31" i="29"/>
  <c r="I33" i="29"/>
  <c r="I44" i="29"/>
  <c r="H8" i="29"/>
  <c r="H31" i="29"/>
  <c r="H33" i="29"/>
  <c r="H44" i="29"/>
  <c r="G8" i="29"/>
  <c r="G31" i="29"/>
  <c r="G33" i="29"/>
  <c r="G44" i="29"/>
  <c r="F8" i="29"/>
  <c r="F31" i="29"/>
  <c r="F33" i="29"/>
  <c r="F44" i="29"/>
  <c r="E8" i="29"/>
  <c r="E31" i="29"/>
  <c r="E33" i="29"/>
  <c r="E44" i="29"/>
  <c r="D8" i="29"/>
  <c r="D31" i="29"/>
  <c r="D33" i="29"/>
  <c r="D44" i="29"/>
  <c r="C8" i="29"/>
  <c r="C31" i="29"/>
  <c r="C33" i="29"/>
  <c r="C44" i="29"/>
  <c r="A1" i="29"/>
  <c r="N8" i="28"/>
  <c r="N31" i="28"/>
  <c r="N33" i="28"/>
  <c r="N44" i="28"/>
  <c r="M8" i="28"/>
  <c r="M31" i="28"/>
  <c r="M33" i="28"/>
  <c r="M44" i="28"/>
  <c r="L8" i="28"/>
  <c r="L31" i="28"/>
  <c r="L33" i="28"/>
  <c r="L44" i="28"/>
  <c r="K8" i="28"/>
  <c r="K31" i="28"/>
  <c r="K33" i="28"/>
  <c r="K44" i="28"/>
  <c r="J8" i="28"/>
  <c r="J31" i="28"/>
  <c r="J33" i="28"/>
  <c r="J44" i="28"/>
  <c r="I8" i="28"/>
  <c r="I31" i="28"/>
  <c r="I33" i="28"/>
  <c r="I44" i="28"/>
  <c r="H8" i="28"/>
  <c r="H31" i="28"/>
  <c r="H33" i="28"/>
  <c r="H44" i="28"/>
  <c r="G8" i="28"/>
  <c r="G31" i="28"/>
  <c r="G33" i="28"/>
  <c r="G44" i="28"/>
  <c r="F8" i="28"/>
  <c r="F31" i="28"/>
  <c r="F33" i="28"/>
  <c r="F44" i="28"/>
  <c r="E8" i="28"/>
  <c r="E31" i="28"/>
  <c r="E33" i="28"/>
  <c r="E44" i="28"/>
  <c r="D8" i="28"/>
  <c r="D31" i="28"/>
  <c r="D33" i="28"/>
  <c r="D44" i="28"/>
  <c r="C8" i="28"/>
  <c r="C31" i="28"/>
  <c r="C33" i="28"/>
  <c r="C44" i="28"/>
  <c r="A1" i="28"/>
  <c r="C8" i="25"/>
  <c r="C31" i="25"/>
  <c r="C33" i="25"/>
  <c r="C45" i="25"/>
  <c r="O8" i="25"/>
  <c r="O28" i="25"/>
  <c r="O29" i="25"/>
  <c r="O30" i="25"/>
  <c r="O31" i="25"/>
  <c r="O33" i="25"/>
  <c r="O44" i="25"/>
  <c r="N8" i="25"/>
  <c r="N28" i="25"/>
  <c r="N29" i="25"/>
  <c r="N30" i="25"/>
  <c r="N31" i="25"/>
  <c r="N33" i="25"/>
  <c r="N44" i="25"/>
  <c r="M8" i="25"/>
  <c r="M28" i="25"/>
  <c r="M29" i="25"/>
  <c r="M30" i="25"/>
  <c r="M31" i="25"/>
  <c r="M33" i="25"/>
  <c r="M44" i="25"/>
  <c r="L8" i="25"/>
  <c r="L28" i="25"/>
  <c r="L29" i="25"/>
  <c r="L30" i="25"/>
  <c r="L31" i="25"/>
  <c r="L33" i="25"/>
  <c r="L44" i="25"/>
  <c r="K8" i="25"/>
  <c r="K28" i="25"/>
  <c r="K29" i="25"/>
  <c r="K30" i="25"/>
  <c r="K31" i="25"/>
  <c r="K33" i="25"/>
  <c r="K44" i="25"/>
  <c r="J8" i="25"/>
  <c r="J28" i="25"/>
  <c r="J29" i="25"/>
  <c r="J30" i="25"/>
  <c r="J31" i="25"/>
  <c r="J33" i="25"/>
  <c r="J44" i="25"/>
  <c r="I8" i="25"/>
  <c r="I28" i="25"/>
  <c r="I29" i="25"/>
  <c r="I30" i="25"/>
  <c r="I31" i="25"/>
  <c r="I33" i="25"/>
  <c r="I44" i="25"/>
  <c r="H8" i="25"/>
  <c r="H28" i="25"/>
  <c r="H29" i="25"/>
  <c r="H30" i="25"/>
  <c r="H31" i="25"/>
  <c r="H33" i="25"/>
  <c r="H44" i="25"/>
  <c r="G8" i="25"/>
  <c r="G28" i="25"/>
  <c r="G29" i="25"/>
  <c r="G30" i="25"/>
  <c r="G31" i="25"/>
  <c r="G33" i="25"/>
  <c r="G44" i="25"/>
  <c r="F8" i="25"/>
  <c r="F28" i="25"/>
  <c r="F29" i="25"/>
  <c r="F30" i="25"/>
  <c r="F31" i="25"/>
  <c r="F33" i="25"/>
  <c r="F44" i="25"/>
  <c r="E8" i="25"/>
  <c r="E28" i="25"/>
  <c r="E29" i="25"/>
  <c r="E30" i="25"/>
  <c r="E31" i="25"/>
  <c r="E33" i="25"/>
  <c r="E44" i="25"/>
  <c r="D8" i="25"/>
  <c r="D28" i="25"/>
  <c r="D29" i="25"/>
  <c r="D30" i="25"/>
  <c r="D31" i="25"/>
  <c r="D33" i="25"/>
  <c r="D44" i="25"/>
  <c r="C44" i="25"/>
  <c r="A1" i="25"/>
  <c r="A1" i="20"/>
  <c r="A1" i="21"/>
  <c r="B12" i="16"/>
  <c r="B10" i="16"/>
  <c r="A1" i="16"/>
  <c r="B37" i="22"/>
  <c r="B36" i="22"/>
  <c r="B35" i="22"/>
  <c r="B34" i="22"/>
  <c r="B33" i="22"/>
  <c r="B31" i="22"/>
  <c r="B30" i="22"/>
  <c r="B29" i="22"/>
  <c r="B28" i="22"/>
  <c r="B27" i="22"/>
  <c r="B25" i="22"/>
  <c r="B24" i="22"/>
  <c r="B23" i="22"/>
  <c r="B22" i="22"/>
  <c r="B21" i="22"/>
  <c r="B19" i="22"/>
  <c r="B18" i="22"/>
  <c r="B17" i="22"/>
  <c r="B16" i="22"/>
  <c r="B15" i="22"/>
  <c r="B14" i="22"/>
  <c r="B13" i="22"/>
  <c r="B12" i="22"/>
  <c r="B8" i="22"/>
  <c r="B6" i="22"/>
  <c r="B4" i="22"/>
  <c r="B3" i="20"/>
  <c r="B5" i="20"/>
  <c r="I4" i="13"/>
  <c r="M37" i="19"/>
  <c r="N10" i="19"/>
  <c r="F32" i="19"/>
  <c r="N37" i="19"/>
  <c r="L39" i="19"/>
  <c r="F16" i="19"/>
  <c r="J13" i="19"/>
  <c r="N18" i="19"/>
  <c r="J21" i="19"/>
  <c r="F24" i="19"/>
  <c r="N26" i="19"/>
  <c r="F6" i="19"/>
  <c r="J29" i="19"/>
  <c r="G40" i="28"/>
  <c r="C40" i="25"/>
  <c r="C42" i="25"/>
  <c r="D4" i="25"/>
  <c r="M6" i="19"/>
  <c r="I11" i="19"/>
  <c r="E14" i="19"/>
  <c r="M16" i="19"/>
  <c r="I19" i="19"/>
  <c r="E22" i="19"/>
  <c r="M24" i="19"/>
  <c r="I27" i="19"/>
  <c r="E30" i="19"/>
  <c r="M32" i="19"/>
  <c r="I38" i="19"/>
  <c r="N6" i="19"/>
  <c r="J11" i="19"/>
  <c r="F14" i="19"/>
  <c r="N16" i="19"/>
  <c r="J19" i="19"/>
  <c r="F22" i="19"/>
  <c r="N24" i="19"/>
  <c r="J27" i="19"/>
  <c r="F30" i="19"/>
  <c r="N32" i="19"/>
  <c r="E39" i="19"/>
  <c r="I7" i="19"/>
  <c r="E12" i="19"/>
  <c r="M14" i="19"/>
  <c r="I17" i="19"/>
  <c r="E20" i="19"/>
  <c r="M22" i="19"/>
  <c r="I25" i="19"/>
  <c r="E28" i="19"/>
  <c r="M30" i="19"/>
  <c r="I36" i="19"/>
  <c r="M39" i="19"/>
  <c r="J4" i="13"/>
  <c r="J7" i="19"/>
  <c r="F12" i="19"/>
  <c r="N14" i="19"/>
  <c r="J17" i="19"/>
  <c r="F20" i="19"/>
  <c r="N22" i="19"/>
  <c r="J25" i="19"/>
  <c r="F28" i="19"/>
  <c r="N30" i="19"/>
  <c r="J36" i="19"/>
  <c r="E10" i="19"/>
  <c r="M12" i="19"/>
  <c r="I15" i="19"/>
  <c r="E18" i="19"/>
  <c r="M20" i="19"/>
  <c r="I23" i="19"/>
  <c r="E26" i="19"/>
  <c r="M28" i="19"/>
  <c r="I31" i="19"/>
  <c r="E37" i="19"/>
  <c r="F10" i="19"/>
  <c r="N12" i="19"/>
  <c r="J15" i="19"/>
  <c r="F18" i="19"/>
  <c r="N20" i="19"/>
  <c r="J23" i="19"/>
  <c r="F26" i="19"/>
  <c r="N28" i="19"/>
  <c r="J31" i="19"/>
  <c r="F37" i="19"/>
  <c r="E6" i="19"/>
  <c r="M10" i="19"/>
  <c r="I13" i="19"/>
  <c r="E16" i="19"/>
  <c r="M18" i="19"/>
  <c r="I21" i="19"/>
  <c r="E24" i="19"/>
  <c r="M26" i="19"/>
  <c r="I29" i="19"/>
  <c r="E32" i="19"/>
  <c r="B39" i="22"/>
  <c r="B5" i="22"/>
  <c r="B7" i="22"/>
  <c r="B9" i="22"/>
  <c r="N39" i="19"/>
  <c r="G6" i="19"/>
  <c r="C7" i="19"/>
  <c r="K7" i="19"/>
  <c r="G10" i="19"/>
  <c r="C11" i="19"/>
  <c r="K11" i="19"/>
  <c r="G12" i="19"/>
  <c r="C13" i="19"/>
  <c r="K13" i="19"/>
  <c r="G14" i="19"/>
  <c r="C15" i="19"/>
  <c r="K15" i="19"/>
  <c r="G16" i="19"/>
  <c r="C17" i="19"/>
  <c r="K17" i="19"/>
  <c r="G18" i="19"/>
  <c r="C19" i="19"/>
  <c r="K19" i="19"/>
  <c r="G20" i="19"/>
  <c r="C21" i="19"/>
  <c r="K21" i="19"/>
  <c r="G22" i="19"/>
  <c r="K23" i="19"/>
  <c r="G24" i="19"/>
  <c r="C25" i="19"/>
  <c r="K25" i="19"/>
  <c r="G26" i="19"/>
  <c r="C27" i="19"/>
  <c r="K27" i="19"/>
  <c r="G28" i="19"/>
  <c r="C29" i="19"/>
  <c r="K29" i="19"/>
  <c r="G30" i="19"/>
  <c r="C31" i="19"/>
  <c r="K31" i="19"/>
  <c r="G32" i="19"/>
  <c r="C36" i="19"/>
  <c r="K36" i="19"/>
  <c r="G37" i="19"/>
  <c r="C38" i="19"/>
  <c r="K38" i="19"/>
  <c r="G39" i="19"/>
  <c r="H6" i="19"/>
  <c r="D7" i="19"/>
  <c r="L7" i="19"/>
  <c r="H10" i="19"/>
  <c r="D11" i="19"/>
  <c r="L11" i="19"/>
  <c r="H12" i="19"/>
  <c r="D13" i="19"/>
  <c r="L13" i="19"/>
  <c r="H14" i="19"/>
  <c r="D15" i="19"/>
  <c r="L15" i="19"/>
  <c r="D17" i="19"/>
  <c r="L17" i="19"/>
  <c r="H18" i="19"/>
  <c r="D19" i="19"/>
  <c r="L19" i="19"/>
  <c r="H20" i="19"/>
  <c r="D21" i="19"/>
  <c r="L21" i="19"/>
  <c r="H22" i="19"/>
  <c r="D23" i="19"/>
  <c r="L23" i="19"/>
  <c r="H24" i="19"/>
  <c r="D25" i="19"/>
  <c r="L25" i="19"/>
  <c r="H26" i="19"/>
  <c r="D27" i="19"/>
  <c r="L27" i="19"/>
  <c r="H28" i="19"/>
  <c r="D29" i="19"/>
  <c r="L29" i="19"/>
  <c r="H30" i="19"/>
  <c r="D31" i="19"/>
  <c r="L31" i="19"/>
  <c r="H32" i="19"/>
  <c r="D36" i="19"/>
  <c r="L36" i="19"/>
  <c r="H37" i="19"/>
  <c r="D38" i="19"/>
  <c r="L38" i="19"/>
  <c r="H39" i="19"/>
  <c r="F39" i="19"/>
  <c r="I6" i="19"/>
  <c r="M7" i="19"/>
  <c r="E11" i="19"/>
  <c r="I12" i="19"/>
  <c r="E13" i="19"/>
  <c r="M13" i="19"/>
  <c r="I14" i="19"/>
  <c r="E15" i="19"/>
  <c r="M15" i="19"/>
  <c r="I16" i="19"/>
  <c r="E17" i="19"/>
  <c r="M17" i="19"/>
  <c r="I18" i="19"/>
  <c r="E19" i="19"/>
  <c r="M19" i="19"/>
  <c r="I20" i="19"/>
  <c r="E21" i="19"/>
  <c r="M21" i="19"/>
  <c r="I22" i="19"/>
  <c r="E23" i="19"/>
  <c r="M23" i="19"/>
  <c r="I24" i="19"/>
  <c r="E25" i="19"/>
  <c r="M25" i="19"/>
  <c r="I26" i="19"/>
  <c r="E27" i="19"/>
  <c r="M27" i="19"/>
  <c r="I28" i="19"/>
  <c r="E29" i="19"/>
  <c r="M29" i="19"/>
  <c r="I30" i="19"/>
  <c r="E31" i="19"/>
  <c r="M31" i="19"/>
  <c r="I32" i="19"/>
  <c r="E36" i="19"/>
  <c r="M36" i="19"/>
  <c r="I37" i="19"/>
  <c r="E38" i="19"/>
  <c r="M38" i="19"/>
  <c r="I39" i="19"/>
  <c r="E7" i="19"/>
  <c r="I10" i="19"/>
  <c r="M11" i="19"/>
  <c r="J6" i="19"/>
  <c r="F7" i="19"/>
  <c r="F8" i="19"/>
  <c r="N7" i="19"/>
  <c r="J10" i="19"/>
  <c r="F11" i="19"/>
  <c r="N11" i="19"/>
  <c r="J12" i="19"/>
  <c r="F13" i="19"/>
  <c r="N13" i="19"/>
  <c r="J14" i="19"/>
  <c r="F15" i="19"/>
  <c r="N15" i="19"/>
  <c r="J16" i="19"/>
  <c r="F17" i="19"/>
  <c r="N17" i="19"/>
  <c r="J18" i="19"/>
  <c r="F19" i="19"/>
  <c r="N19" i="19"/>
  <c r="J20" i="19"/>
  <c r="F21" i="19"/>
  <c r="N21" i="19"/>
  <c r="J22" i="19"/>
  <c r="F23" i="19"/>
  <c r="N23" i="19"/>
  <c r="J24" i="19"/>
  <c r="F25" i="19"/>
  <c r="N25" i="19"/>
  <c r="J26" i="19"/>
  <c r="F27" i="19"/>
  <c r="N27" i="19"/>
  <c r="J28" i="19"/>
  <c r="F29" i="19"/>
  <c r="N29" i="19"/>
  <c r="J30" i="19"/>
  <c r="F31" i="19"/>
  <c r="N31" i="19"/>
  <c r="J32" i="19"/>
  <c r="F36" i="19"/>
  <c r="N36" i="19"/>
  <c r="J37" i="19"/>
  <c r="F38" i="19"/>
  <c r="N38" i="19"/>
  <c r="J39" i="19"/>
  <c r="J38" i="19"/>
  <c r="K6" i="19"/>
  <c r="C10" i="19"/>
  <c r="K10" i="19"/>
  <c r="G11" i="19"/>
  <c r="C12" i="19"/>
  <c r="K12" i="19"/>
  <c r="G13" i="19"/>
  <c r="C14" i="19"/>
  <c r="K14" i="19"/>
  <c r="G15" i="19"/>
  <c r="C16" i="19"/>
  <c r="K16" i="19"/>
  <c r="G17" i="19"/>
  <c r="C18" i="19"/>
  <c r="K18" i="19"/>
  <c r="G19" i="19"/>
  <c r="C20" i="19"/>
  <c r="K20" i="19"/>
  <c r="G21" i="19"/>
  <c r="C22" i="19"/>
  <c r="K22" i="19"/>
  <c r="G23" i="19"/>
  <c r="C24" i="19"/>
  <c r="K24" i="19"/>
  <c r="G25" i="19"/>
  <c r="C26" i="19"/>
  <c r="K26" i="19"/>
  <c r="G27" i="19"/>
  <c r="C28" i="19"/>
  <c r="K28" i="19"/>
  <c r="G29" i="19"/>
  <c r="C30" i="19"/>
  <c r="K30" i="19"/>
  <c r="G31" i="19"/>
  <c r="C32" i="19"/>
  <c r="K32" i="19"/>
  <c r="G36" i="19"/>
  <c r="C37" i="19"/>
  <c r="K37" i="19"/>
  <c r="G38" i="19"/>
  <c r="C39" i="19"/>
  <c r="K39" i="19"/>
  <c r="C6" i="19"/>
  <c r="C8" i="19"/>
  <c r="G7" i="19"/>
  <c r="D6" i="19"/>
  <c r="L6" i="19"/>
  <c r="H7" i="19"/>
  <c r="D10" i="19"/>
  <c r="L10" i="19"/>
  <c r="H11" i="19"/>
  <c r="D12" i="19"/>
  <c r="L12" i="19"/>
  <c r="H13" i="19"/>
  <c r="D14" i="19"/>
  <c r="L14" i="19"/>
  <c r="H15" i="19"/>
  <c r="D16" i="19"/>
  <c r="L16" i="19"/>
  <c r="H17" i="19"/>
  <c r="D18" i="19"/>
  <c r="L18" i="19"/>
  <c r="H19" i="19"/>
  <c r="D20" i="19"/>
  <c r="L20" i="19"/>
  <c r="H21" i="19"/>
  <c r="D22" i="19"/>
  <c r="L22" i="19"/>
  <c r="H23" i="19"/>
  <c r="D24" i="19"/>
  <c r="L24" i="19"/>
  <c r="H25" i="19"/>
  <c r="D26" i="19"/>
  <c r="L26" i="19"/>
  <c r="H27" i="19"/>
  <c r="D28" i="19"/>
  <c r="L28" i="19"/>
  <c r="H29" i="19"/>
  <c r="D30" i="19"/>
  <c r="L30" i="19"/>
  <c r="H31" i="19"/>
  <c r="D32" i="19"/>
  <c r="L32" i="19"/>
  <c r="H36" i="19"/>
  <c r="D37" i="19"/>
  <c r="L37" i="19"/>
  <c r="H38" i="19"/>
  <c r="D39" i="19"/>
  <c r="N40" i="29"/>
  <c r="N45" i="29"/>
  <c r="D40" i="25"/>
  <c r="D42" i="25"/>
  <c r="E4" i="25"/>
  <c r="E40" i="25"/>
  <c r="E42" i="25"/>
  <c r="F4" i="25"/>
  <c r="D45" i="25"/>
  <c r="N45" i="28"/>
  <c r="N40" i="28"/>
  <c r="E45" i="25"/>
  <c r="M40" i="25"/>
  <c r="M45" i="25"/>
  <c r="G45" i="28"/>
  <c r="L40" i="25"/>
  <c r="L45" i="25"/>
  <c r="F45" i="28"/>
  <c r="F40" i="28"/>
  <c r="F5" i="30"/>
  <c r="F9" i="30"/>
  <c r="N8" i="19"/>
  <c r="B40" i="22"/>
  <c r="B42" i="22"/>
  <c r="B3" i="21"/>
  <c r="B4" i="21"/>
  <c r="B5" i="21"/>
  <c r="B6" i="21"/>
  <c r="E8" i="19"/>
  <c r="M8" i="19"/>
  <c r="L8" i="19"/>
  <c r="J8" i="19"/>
  <c r="I8" i="19"/>
  <c r="K8" i="19"/>
  <c r="N33" i="19"/>
  <c r="F33" i="19"/>
  <c r="M33" i="19"/>
  <c r="E33" i="19"/>
  <c r="D8" i="19"/>
  <c r="O39" i="19"/>
  <c r="O36" i="19"/>
  <c r="O30" i="19"/>
  <c r="O14" i="19"/>
  <c r="O27" i="19"/>
  <c r="O11" i="19"/>
  <c r="D33" i="19"/>
  <c r="J33" i="19"/>
  <c r="O17" i="19"/>
  <c r="O37" i="19"/>
  <c r="O18" i="19"/>
  <c r="O31" i="19"/>
  <c r="O15" i="19"/>
  <c r="O21" i="19"/>
  <c r="O28" i="19"/>
  <c r="O12" i="19"/>
  <c r="H33" i="19"/>
  <c r="O20" i="19"/>
  <c r="O24" i="19"/>
  <c r="G33" i="19"/>
  <c r="O22" i="19"/>
  <c r="O38" i="19"/>
  <c r="O19" i="19"/>
  <c r="G8" i="19"/>
  <c r="O16" i="19"/>
  <c r="K33" i="19"/>
  <c r="O25" i="19"/>
  <c r="O29" i="19"/>
  <c r="O13" i="19"/>
  <c r="C33" i="19"/>
  <c r="C35" i="19"/>
  <c r="C40" i="19"/>
  <c r="C42" i="19"/>
  <c r="D4" i="19"/>
  <c r="O32" i="19"/>
  <c r="L33" i="19"/>
  <c r="O26" i="19"/>
  <c r="O10" i="19"/>
  <c r="I33" i="19"/>
  <c r="H8" i="19"/>
  <c r="O23" i="19"/>
  <c r="F40" i="29"/>
  <c r="F45" i="29"/>
  <c r="K45" i="25"/>
  <c r="K40" i="25"/>
  <c r="H40" i="29"/>
  <c r="H45" i="29"/>
  <c r="I40" i="25"/>
  <c r="I45" i="25"/>
  <c r="N40" i="25"/>
  <c r="N45" i="25"/>
  <c r="L45" i="28"/>
  <c r="L40" i="28"/>
  <c r="F40" i="25"/>
  <c r="F42" i="25"/>
  <c r="G4" i="25"/>
  <c r="G40" i="25"/>
  <c r="G42" i="25"/>
  <c r="H4" i="25"/>
  <c r="F45" i="25"/>
  <c r="D45" i="29"/>
  <c r="D40" i="29"/>
  <c r="F10" i="30"/>
  <c r="B15" i="30"/>
  <c r="H40" i="25"/>
  <c r="H45" i="25"/>
  <c r="L45" i="29"/>
  <c r="L40" i="29"/>
  <c r="E45" i="29"/>
  <c r="E40" i="29"/>
  <c r="I40" i="29"/>
  <c r="I45" i="29"/>
  <c r="I40" i="28"/>
  <c r="I45" i="28"/>
  <c r="G40" i="29"/>
  <c r="G45" i="29"/>
  <c r="J45" i="29"/>
  <c r="J40" i="29"/>
  <c r="D45" i="28"/>
  <c r="D40" i="28"/>
  <c r="K45" i="29"/>
  <c r="K40" i="29"/>
  <c r="J40" i="25"/>
  <c r="J45" i="25"/>
  <c r="M45" i="29"/>
  <c r="M40" i="29"/>
  <c r="M45" i="28"/>
  <c r="M40" i="28"/>
  <c r="G45" i="25"/>
  <c r="K45" i="28"/>
  <c r="K40" i="28"/>
  <c r="C45" i="29"/>
  <c r="C40" i="29"/>
  <c r="O45" i="25"/>
  <c r="O40" i="25"/>
  <c r="J45" i="28"/>
  <c r="J40" i="28"/>
  <c r="E45" i="28"/>
  <c r="E40" i="28"/>
  <c r="C45" i="28"/>
  <c r="C40" i="28"/>
  <c r="H40" i="28"/>
  <c r="H45" i="28"/>
  <c r="H42" i="25"/>
  <c r="I4" i="25"/>
  <c r="I42" i="25"/>
  <c r="J4" i="25"/>
  <c r="J42" i="25"/>
  <c r="K4" i="25"/>
  <c r="K42" i="25"/>
  <c r="L4" i="25"/>
  <c r="L42" i="25"/>
  <c r="M4" i="25"/>
  <c r="M42" i="25"/>
  <c r="N4" i="25"/>
  <c r="N42" i="25"/>
  <c r="O4" i="25"/>
  <c r="O42" i="25"/>
  <c r="C4" i="28"/>
  <c r="C42" i="28"/>
  <c r="D4" i="28"/>
  <c r="D42" i="28"/>
  <c r="E4" i="28"/>
  <c r="E42" i="28"/>
  <c r="F4" i="28"/>
  <c r="F42" i="28"/>
  <c r="G4" i="28"/>
  <c r="G42" i="28"/>
  <c r="H4" i="28"/>
  <c r="H42" i="28"/>
  <c r="I4" i="28"/>
  <c r="I42" i="28"/>
  <c r="J4" i="28"/>
  <c r="J42" i="28"/>
  <c r="K4" i="28"/>
  <c r="K42" i="28"/>
  <c r="L4" i="28"/>
  <c r="L42" i="28"/>
  <c r="M4" i="28"/>
  <c r="M42" i="28"/>
  <c r="N4" i="28"/>
  <c r="N42" i="28"/>
  <c r="C4" i="29"/>
  <c r="C42" i="29"/>
  <c r="D4" i="29"/>
  <c r="D42" i="29"/>
  <c r="E4" i="29"/>
  <c r="E42" i="29"/>
  <c r="F4" i="29"/>
  <c r="F42" i="29"/>
  <c r="G4" i="29"/>
  <c r="G42" i="29"/>
  <c r="H4" i="29"/>
  <c r="H42" i="29"/>
  <c r="I4" i="29"/>
  <c r="I42" i="29"/>
  <c r="J4" i="29"/>
  <c r="J42" i="29"/>
  <c r="K4" i="29"/>
  <c r="K42" i="29"/>
  <c r="L4" i="29"/>
  <c r="L42" i="29"/>
  <c r="M4" i="29"/>
  <c r="M42" i="29"/>
  <c r="N4" i="29"/>
  <c r="N42" i="29"/>
  <c r="N35" i="19"/>
  <c r="N40" i="19"/>
  <c r="K35" i="19"/>
  <c r="K40" i="19"/>
  <c r="M35" i="19"/>
  <c r="M40" i="19"/>
  <c r="E35" i="19"/>
  <c r="E40" i="19"/>
  <c r="F35" i="19"/>
  <c r="F40" i="19"/>
  <c r="O8" i="19"/>
  <c r="H35" i="19"/>
  <c r="H40" i="19"/>
  <c r="J35" i="19"/>
  <c r="J40" i="19"/>
  <c r="I35" i="19"/>
  <c r="I40" i="19"/>
  <c r="G35" i="19"/>
  <c r="G40" i="19"/>
  <c r="O33" i="19"/>
  <c r="D35" i="19"/>
  <c r="L35" i="19"/>
  <c r="L40" i="19"/>
  <c r="C15" i="30"/>
  <c r="D40" i="19"/>
  <c r="D42" i="19"/>
  <c r="E4" i="19"/>
  <c r="E42" i="19"/>
  <c r="F4" i="19"/>
  <c r="F42" i="19"/>
  <c r="G4" i="19"/>
  <c r="G42" i="19"/>
  <c r="H4" i="19"/>
  <c r="H42" i="19"/>
  <c r="I4" i="19"/>
  <c r="I42" i="19"/>
  <c r="J4" i="19"/>
  <c r="J42" i="19"/>
  <c r="K4" i="19"/>
  <c r="K42" i="19"/>
  <c r="L4" i="19"/>
  <c r="L42" i="19"/>
  <c r="M4" i="19"/>
  <c r="M42" i="19"/>
  <c r="N4" i="19"/>
  <c r="N42" i="19"/>
  <c r="O35" i="19"/>
  <c r="D15" i="30"/>
  <c r="E15" i="30"/>
  <c r="F15" i="30"/>
  <c r="B16" i="30"/>
  <c r="C16" i="30"/>
  <c r="D16" i="30"/>
  <c r="E16" i="30"/>
  <c r="F16" i="30"/>
  <c r="B17" i="30"/>
  <c r="C17" i="30"/>
  <c r="D17" i="30"/>
  <c r="E17" i="30"/>
  <c r="F17" i="30"/>
  <c r="B18" i="30"/>
  <c r="C18" i="30"/>
  <c r="D18" i="30"/>
  <c r="E18" i="30"/>
  <c r="F18" i="30"/>
  <c r="B19" i="30"/>
  <c r="C19" i="30"/>
  <c r="D19" i="30"/>
  <c r="E19" i="30"/>
  <c r="F19" i="30"/>
  <c r="B20" i="30"/>
  <c r="C20" i="30"/>
  <c r="D20" i="30"/>
  <c r="E20" i="30"/>
  <c r="F20" i="30"/>
  <c r="B21" i="30"/>
  <c r="C21" i="30"/>
  <c r="D21" i="30"/>
  <c r="E21" i="30"/>
  <c r="F21" i="30"/>
  <c r="B22" i="30"/>
  <c r="C22" i="30"/>
  <c r="D22" i="30"/>
  <c r="E22" i="30"/>
  <c r="F22" i="30"/>
  <c r="B23" i="30"/>
  <c r="C23" i="30"/>
  <c r="D23" i="30"/>
  <c r="E23" i="30"/>
  <c r="F23" i="30"/>
  <c r="B24" i="30"/>
  <c r="C24" i="30"/>
  <c r="D24" i="30"/>
  <c r="E24" i="30"/>
  <c r="F24" i="30"/>
  <c r="B25" i="30"/>
  <c r="C25" i="30"/>
  <c r="D25" i="30"/>
  <c r="E25" i="30"/>
  <c r="F25" i="30"/>
  <c r="B26" i="30"/>
  <c r="C26" i="30"/>
  <c r="D26" i="30"/>
  <c r="E26" i="30"/>
  <c r="F26" i="30"/>
  <c r="B27" i="30"/>
  <c r="C27" i="30"/>
  <c r="D27" i="30"/>
  <c r="E27" i="30"/>
  <c r="F27" i="30"/>
  <c r="B28" i="30"/>
  <c r="C28" i="30"/>
  <c r="D28" i="30"/>
  <c r="E28" i="30"/>
  <c r="F28" i="30"/>
  <c r="B29" i="30"/>
  <c r="C29" i="30"/>
  <c r="D29" i="30"/>
  <c r="E29" i="30"/>
  <c r="F29" i="30"/>
  <c r="B30" i="30"/>
  <c r="C30" i="30"/>
  <c r="D30" i="30"/>
  <c r="E30" i="30"/>
  <c r="F30" i="30"/>
  <c r="B31" i="30"/>
  <c r="C31" i="30"/>
  <c r="D31" i="30"/>
  <c r="E31" i="30"/>
  <c r="F31" i="30"/>
  <c r="B32" i="30"/>
  <c r="C32" i="30"/>
  <c r="D32" i="30"/>
  <c r="E32" i="30"/>
  <c r="F32" i="30"/>
  <c r="B33" i="30"/>
  <c r="C33" i="30"/>
  <c r="D33" i="30"/>
  <c r="E33" i="30"/>
  <c r="F33" i="30"/>
  <c r="B34" i="30"/>
  <c r="C34" i="30"/>
  <c r="D34" i="30"/>
  <c r="E34" i="30"/>
  <c r="F34" i="30"/>
  <c r="B35" i="30"/>
  <c r="C35" i="30"/>
  <c r="D35" i="30"/>
  <c r="E35" i="30"/>
  <c r="F35" i="30"/>
  <c r="B36" i="30"/>
  <c r="C36" i="30"/>
  <c r="D36" i="30"/>
  <c r="E36" i="30"/>
  <c r="F36" i="30"/>
  <c r="B37" i="30"/>
  <c r="C37" i="30"/>
  <c r="D37" i="30"/>
  <c r="E37" i="30"/>
  <c r="F37" i="30"/>
  <c r="B38" i="30"/>
  <c r="C38" i="30"/>
  <c r="D38" i="30"/>
  <c r="E38" i="30"/>
  <c r="F38" i="30"/>
  <c r="B39" i="30"/>
  <c r="C39" i="30"/>
  <c r="D39" i="30"/>
  <c r="E39" i="30"/>
  <c r="F39" i="30"/>
  <c r="B40" i="30"/>
  <c r="C40" i="30"/>
  <c r="D40" i="30"/>
  <c r="E40" i="30"/>
  <c r="F40" i="30"/>
  <c r="B41" i="30"/>
  <c r="C41" i="30"/>
  <c r="D41" i="30"/>
  <c r="E41" i="30"/>
  <c r="F41" i="30"/>
  <c r="B42" i="30"/>
  <c r="C42" i="30"/>
  <c r="D42" i="30"/>
  <c r="E42" i="30"/>
  <c r="F42" i="30"/>
  <c r="B43" i="30"/>
  <c r="C43" i="30"/>
  <c r="D43" i="30"/>
  <c r="E43" i="30"/>
  <c r="F43" i="30"/>
  <c r="B44" i="30"/>
  <c r="C44" i="30"/>
  <c r="D44" i="30"/>
  <c r="E44" i="30"/>
  <c r="F44" i="30"/>
  <c r="B45" i="30"/>
  <c r="C45" i="30"/>
  <c r="D45" i="30"/>
  <c r="E45" i="30"/>
  <c r="F45" i="30"/>
  <c r="B46" i="30"/>
  <c r="C46" i="30"/>
  <c r="D46" i="30"/>
  <c r="E46" i="30"/>
  <c r="F46" i="30"/>
  <c r="B47" i="30"/>
  <c r="C47" i="30"/>
  <c r="D47" i="30"/>
  <c r="E47" i="30"/>
  <c r="F47" i="30"/>
  <c r="B48" i="30"/>
  <c r="C48" i="30"/>
  <c r="D48" i="30"/>
  <c r="E48" i="30"/>
  <c r="F48" i="30"/>
  <c r="B49" i="30"/>
  <c r="C49" i="30"/>
  <c r="D49" i="30"/>
  <c r="E49" i="30"/>
  <c r="F49" i="30"/>
  <c r="B50" i="30"/>
  <c r="C50" i="30"/>
  <c r="D50" i="30"/>
  <c r="E50" i="30"/>
  <c r="F50" i="30"/>
  <c r="B51" i="30"/>
  <c r="C51" i="30"/>
  <c r="D51" i="30"/>
  <c r="E51" i="30"/>
  <c r="F51" i="30"/>
  <c r="B52" i="30"/>
  <c r="C52" i="30"/>
  <c r="D52" i="30"/>
  <c r="E52" i="30"/>
  <c r="F52" i="30"/>
  <c r="B53" i="30"/>
  <c r="C53" i="30"/>
  <c r="D53" i="30"/>
  <c r="E53" i="30"/>
  <c r="F53" i="30"/>
  <c r="B54" i="30"/>
  <c r="C54" i="30"/>
  <c r="D54" i="30"/>
  <c r="E54" i="30"/>
  <c r="F54" i="30"/>
  <c r="B55" i="30"/>
  <c r="C55" i="30"/>
  <c r="D55" i="30"/>
  <c r="E55" i="30"/>
  <c r="F55" i="30"/>
  <c r="B56" i="30"/>
  <c r="C56" i="30"/>
  <c r="D56" i="30"/>
  <c r="E56" i="30"/>
  <c r="F56" i="30"/>
  <c r="B57" i="30"/>
  <c r="C57" i="30"/>
  <c r="D57" i="30"/>
  <c r="E57" i="30"/>
  <c r="F57" i="30"/>
  <c r="B58" i="30"/>
  <c r="C58" i="30"/>
  <c r="D58" i="30"/>
  <c r="E58" i="30"/>
  <c r="F58" i="30"/>
  <c r="B59" i="30"/>
  <c r="C59" i="30"/>
  <c r="D59" i="30"/>
  <c r="E59" i="30"/>
  <c r="F59" i="30"/>
  <c r="B60" i="30"/>
  <c r="C60" i="30"/>
  <c r="D60" i="30"/>
  <c r="E60" i="30"/>
  <c r="F60" i="30"/>
  <c r="B61" i="30"/>
  <c r="C61" i="30"/>
  <c r="D61" i="30"/>
  <c r="E61" i="30"/>
  <c r="F61" i="30"/>
  <c r="B62" i="30"/>
  <c r="C62" i="30"/>
  <c r="D62" i="30"/>
  <c r="E62" i="30"/>
  <c r="F62" i="30"/>
  <c r="B63" i="30"/>
  <c r="C63" i="30"/>
  <c r="D63" i="30"/>
  <c r="E63" i="30"/>
  <c r="F63" i="30"/>
  <c r="B64" i="30"/>
  <c r="C64" i="30"/>
  <c r="D64" i="30"/>
  <c r="E64" i="30"/>
  <c r="F64" i="30"/>
  <c r="B65" i="30"/>
  <c r="C65" i="30"/>
  <c r="D65" i="30"/>
  <c r="E65" i="30"/>
  <c r="F65" i="30"/>
  <c r="B66" i="30"/>
  <c r="C66" i="30"/>
  <c r="D66" i="30"/>
  <c r="E66" i="30"/>
  <c r="F66" i="30"/>
  <c r="B67" i="30"/>
  <c r="C67" i="30"/>
  <c r="D67" i="30"/>
  <c r="E67" i="30"/>
  <c r="F67" i="30"/>
  <c r="B68" i="30"/>
  <c r="C68" i="30"/>
  <c r="D68" i="30"/>
  <c r="E68" i="30"/>
  <c r="F68" i="30"/>
  <c r="B69" i="30"/>
  <c r="C69" i="30"/>
  <c r="D69" i="30"/>
  <c r="E69" i="30"/>
  <c r="F69" i="30"/>
  <c r="B70" i="30"/>
  <c r="C70" i="30"/>
  <c r="D70" i="30"/>
  <c r="E70" i="30"/>
  <c r="F70" i="30"/>
  <c r="B71" i="30"/>
  <c r="C71" i="30"/>
  <c r="D71" i="30"/>
  <c r="E71" i="30"/>
  <c r="F71" i="30"/>
  <c r="B72" i="30"/>
  <c r="C72" i="30"/>
  <c r="D72" i="30"/>
  <c r="E72" i="30"/>
  <c r="F72" i="30"/>
  <c r="B73" i="30"/>
  <c r="C73" i="30"/>
  <c r="D73" i="30"/>
  <c r="E73" i="30"/>
  <c r="F73" i="30"/>
  <c r="B74" i="30"/>
  <c r="C74" i="30"/>
  <c r="D74" i="30"/>
  <c r="E74" i="30"/>
  <c r="F74" i="30"/>
  <c r="B75" i="30"/>
  <c r="C75" i="30"/>
  <c r="D75" i="30"/>
  <c r="E75" i="30"/>
  <c r="F75" i="30"/>
  <c r="B76" i="30"/>
  <c r="C76" i="30"/>
  <c r="D76" i="30"/>
  <c r="E76" i="30"/>
  <c r="F76" i="30"/>
  <c r="B77" i="30"/>
  <c r="C77" i="30"/>
  <c r="D77" i="30"/>
  <c r="E77" i="30"/>
  <c r="F77" i="30"/>
  <c r="B78" i="30"/>
  <c r="C78" i="30"/>
  <c r="D78" i="30"/>
  <c r="E78" i="30"/>
  <c r="F78" i="30"/>
  <c r="B79" i="30"/>
  <c r="C79" i="30"/>
  <c r="D79" i="30"/>
  <c r="E79" i="30"/>
  <c r="F79" i="30"/>
  <c r="B80" i="30"/>
  <c r="C80" i="30"/>
  <c r="D80" i="30"/>
  <c r="E80" i="30"/>
  <c r="F80" i="30"/>
  <c r="B81" i="30"/>
  <c r="C81" i="30"/>
  <c r="D81" i="30"/>
  <c r="E81" i="30"/>
  <c r="F81" i="30"/>
  <c r="B82" i="30"/>
  <c r="C82" i="30"/>
  <c r="D82" i="30"/>
  <c r="E82" i="30"/>
  <c r="F82" i="30"/>
  <c r="B83" i="30"/>
  <c r="C83" i="30"/>
  <c r="D83" i="30"/>
  <c r="E83" i="30"/>
  <c r="F83" i="30"/>
  <c r="B84" i="30"/>
  <c r="C84" i="30"/>
  <c r="D84" i="30"/>
  <c r="E84" i="30"/>
  <c r="F84" i="30"/>
  <c r="B85" i="30"/>
  <c r="C85" i="30"/>
  <c r="D85" i="30"/>
  <c r="E85" i="30"/>
  <c r="F85" i="30"/>
  <c r="B86" i="30"/>
  <c r="C86" i="30"/>
  <c r="D86" i="30"/>
  <c r="E86" i="30"/>
  <c r="F86" i="30"/>
  <c r="B87" i="30"/>
  <c r="C87" i="30"/>
  <c r="D87" i="30"/>
  <c r="E87" i="30"/>
  <c r="F87" i="30"/>
  <c r="B88" i="30"/>
  <c r="C88" i="30"/>
  <c r="D88" i="30"/>
  <c r="E88" i="30"/>
  <c r="F88" i="30"/>
  <c r="B89" i="30"/>
  <c r="C89" i="30"/>
  <c r="D89" i="30"/>
  <c r="E89" i="30"/>
  <c r="F89" i="30"/>
  <c r="B90" i="30"/>
  <c r="C90" i="30"/>
  <c r="D90" i="30"/>
  <c r="E90" i="30"/>
  <c r="F90" i="30"/>
  <c r="B91" i="30"/>
  <c r="C91" i="30"/>
  <c r="D91" i="30"/>
  <c r="E91" i="30"/>
  <c r="F91" i="30"/>
  <c r="B92" i="30"/>
  <c r="C92" i="30"/>
  <c r="D92" i="30"/>
  <c r="E92" i="30"/>
  <c r="F92" i="30"/>
  <c r="B93" i="30"/>
  <c r="C93" i="30"/>
  <c r="D93" i="30"/>
  <c r="E93" i="30"/>
  <c r="F93" i="30"/>
  <c r="B94" i="30"/>
  <c r="C94" i="30"/>
  <c r="D94" i="30"/>
  <c r="E94" i="30"/>
  <c r="F94" i="30"/>
  <c r="B95" i="30"/>
  <c r="C95" i="30"/>
  <c r="D95" i="30"/>
  <c r="E95" i="30"/>
  <c r="F95" i="30"/>
  <c r="B96" i="30"/>
  <c r="C96" i="30"/>
  <c r="D96" i="30"/>
  <c r="E96" i="30"/>
  <c r="F96" i="30"/>
  <c r="B97" i="30"/>
  <c r="C97" i="30"/>
  <c r="D97" i="30"/>
  <c r="E97" i="30"/>
  <c r="F97" i="30"/>
  <c r="B98" i="30"/>
  <c r="C98" i="30"/>
  <c r="D98" i="30"/>
  <c r="E98" i="30"/>
  <c r="F98" i="30"/>
  <c r="B99" i="30"/>
  <c r="C99" i="30"/>
  <c r="D99" i="30"/>
  <c r="E99" i="30"/>
  <c r="F99" i="30"/>
  <c r="B100" i="30"/>
  <c r="C100" i="30"/>
  <c r="D100" i="30"/>
  <c r="E100" i="30"/>
  <c r="F100" i="30"/>
  <c r="B101" i="30"/>
  <c r="C101" i="30"/>
  <c r="D101" i="30"/>
  <c r="E101" i="30"/>
  <c r="F101" i="30"/>
  <c r="B102" i="30"/>
  <c r="C102" i="30"/>
  <c r="D102" i="30"/>
  <c r="E102" i="30"/>
  <c r="F102" i="30"/>
  <c r="B103" i="30"/>
  <c r="C103" i="30"/>
  <c r="D103" i="30"/>
  <c r="E103" i="30"/>
  <c r="F103" i="30"/>
  <c r="B104" i="30"/>
  <c r="C104" i="30"/>
  <c r="D104" i="30"/>
  <c r="E104" i="30"/>
  <c r="F104" i="30"/>
  <c r="B105" i="30"/>
  <c r="C105" i="30"/>
  <c r="D105" i="30"/>
  <c r="E105" i="30"/>
  <c r="F105" i="30"/>
  <c r="B106" i="30"/>
  <c r="C106" i="30"/>
  <c r="D106" i="30"/>
  <c r="E106" i="30"/>
  <c r="F106" i="30"/>
  <c r="B107" i="30"/>
  <c r="C107" i="30"/>
  <c r="D107" i="30"/>
  <c r="E107" i="30"/>
  <c r="F107" i="30"/>
  <c r="B108" i="30"/>
  <c r="C108" i="30"/>
  <c r="D108" i="30"/>
  <c r="E108" i="30"/>
  <c r="F108" i="30"/>
  <c r="B109" i="30"/>
  <c r="C109" i="30"/>
  <c r="D109" i="30"/>
  <c r="E109" i="30"/>
  <c r="F109" i="30"/>
  <c r="B110" i="30"/>
  <c r="C110" i="30"/>
  <c r="D110" i="30"/>
  <c r="E110" i="30"/>
  <c r="F110" i="30"/>
  <c r="B111" i="30"/>
  <c r="C111" i="30"/>
  <c r="D111" i="30"/>
  <c r="E111" i="30"/>
  <c r="F111" i="30"/>
  <c r="B112" i="30"/>
  <c r="C112" i="30"/>
  <c r="D112" i="30"/>
  <c r="E112" i="30"/>
  <c r="F112" i="30"/>
  <c r="B113" i="30"/>
  <c r="C113" i="30"/>
  <c r="D113" i="30"/>
  <c r="E113" i="30"/>
  <c r="F113" i="30"/>
  <c r="B114" i="30"/>
  <c r="C114" i="30"/>
  <c r="D114" i="30"/>
  <c r="E114" i="30"/>
  <c r="F114" i="30"/>
  <c r="B115" i="30"/>
  <c r="C115" i="30"/>
  <c r="D115" i="30"/>
  <c r="E115" i="30"/>
  <c r="F115" i="30"/>
  <c r="B116" i="30"/>
  <c r="C116" i="30"/>
  <c r="D116" i="30"/>
  <c r="E116" i="30"/>
  <c r="F116" i="30"/>
  <c r="B117" i="30"/>
  <c r="C117" i="30"/>
  <c r="D117" i="30"/>
  <c r="E117" i="30"/>
  <c r="F117" i="30"/>
  <c r="B118" i="30"/>
  <c r="C118" i="30"/>
  <c r="D118" i="30"/>
  <c r="E118" i="30"/>
  <c r="F118" i="30"/>
  <c r="B119" i="30"/>
  <c r="C119" i="30"/>
  <c r="D119" i="30"/>
  <c r="E119" i="30"/>
  <c r="F119" i="30"/>
  <c r="B120" i="30"/>
  <c r="C120" i="30"/>
  <c r="D120" i="30"/>
  <c r="E120" i="30"/>
  <c r="F120" i="30"/>
  <c r="B121" i="30"/>
  <c r="C121" i="30"/>
  <c r="D121" i="30"/>
  <c r="E121" i="30"/>
  <c r="F121" i="30"/>
  <c r="B122" i="30"/>
  <c r="C122" i="30"/>
  <c r="D122" i="30"/>
  <c r="E122" i="30"/>
  <c r="F122" i="30"/>
  <c r="B123" i="30"/>
  <c r="C123" i="30"/>
  <c r="D123" i="30"/>
  <c r="E123" i="30"/>
  <c r="F123" i="30"/>
  <c r="B124" i="30"/>
  <c r="C124" i="30"/>
  <c r="D124" i="30"/>
  <c r="E124" i="30"/>
  <c r="F124" i="30"/>
  <c r="B125" i="30"/>
  <c r="C125" i="30"/>
  <c r="D125" i="30"/>
  <c r="E125" i="30"/>
  <c r="F125" i="30"/>
  <c r="B126" i="30"/>
  <c r="C126" i="30"/>
  <c r="D126" i="30"/>
  <c r="E126" i="30"/>
  <c r="F126" i="30"/>
  <c r="B127" i="30"/>
  <c r="C127" i="30"/>
  <c r="D127" i="30"/>
  <c r="E127" i="30"/>
  <c r="F127" i="30"/>
  <c r="B128" i="30"/>
  <c r="C128" i="30"/>
  <c r="D128" i="30"/>
  <c r="E128" i="30"/>
  <c r="F128" i="30"/>
  <c r="B129" i="30"/>
  <c r="C129" i="30"/>
  <c r="D129" i="30"/>
  <c r="E129" i="30"/>
  <c r="F129" i="30"/>
  <c r="B130" i="30"/>
  <c r="C130" i="30"/>
  <c r="D130" i="30"/>
  <c r="E130" i="30"/>
  <c r="F130" i="30"/>
  <c r="B131" i="30"/>
  <c r="C131" i="30"/>
  <c r="D131" i="30"/>
  <c r="E131" i="30"/>
  <c r="F131" i="30"/>
  <c r="B132" i="30"/>
  <c r="C132" i="30"/>
  <c r="D132" i="30"/>
  <c r="E132" i="30"/>
  <c r="F132" i="30"/>
  <c r="B133" i="30"/>
  <c r="C133" i="30"/>
  <c r="D133" i="30"/>
  <c r="E133" i="30"/>
  <c r="F133" i="30"/>
  <c r="B134" i="30"/>
  <c r="C134" i="30"/>
  <c r="D134" i="30"/>
  <c r="E134" i="30"/>
  <c r="F134" i="30"/>
</calcChain>
</file>

<file path=xl/comments1.xml><?xml version="1.0" encoding="utf-8"?>
<comments xmlns="http://schemas.openxmlformats.org/spreadsheetml/2006/main">
  <authors>
    <author>Brent Hoover</author>
  </authors>
  <commentList>
    <comment ref="D3" authorId="0">
      <text>
        <r>
          <rPr>
            <i/>
            <sz val="9"/>
            <color indexed="81"/>
            <rFont val="Tahoma"/>
            <family val="2"/>
          </rPr>
          <t>This is used for either revenue or equity deposit</t>
        </r>
      </text>
    </comment>
    <comment ref="E3" authorId="0">
      <text>
        <r>
          <rPr>
            <i/>
            <sz val="9"/>
            <color indexed="81"/>
            <rFont val="Tahoma"/>
            <family val="2"/>
          </rPr>
          <t>All expenses are entered as NEGATIVE numbers in "Cash Out".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Brent Hoover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bank account balance for January 1st of the year at hand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Brent Hoover, MBA</author>
  </authors>
  <commentList>
    <comment ref="A5" authorId="0">
      <text>
        <r>
          <rPr>
            <b/>
            <sz val="9"/>
            <color indexed="81"/>
            <rFont val="Palatino Linotype"/>
            <family val="2"/>
          </rPr>
          <t>Subtract line 2 from line 1</t>
        </r>
        <r>
          <rPr>
            <sz val="9"/>
            <color indexed="81"/>
            <rFont val="Palatino Linotype"/>
            <family val="2"/>
          </rPr>
          <t xml:space="preserve">
</t>
        </r>
      </text>
    </comment>
    <comment ref="A8" authorId="0">
      <text>
        <r>
          <rPr>
            <b/>
            <sz val="9"/>
            <color indexed="81"/>
            <rFont val="Palatino Linotype"/>
            <family val="2"/>
          </rPr>
          <t>Including federal and state gasoline or fuel tax credit or refund</t>
        </r>
        <r>
          <rPr>
            <sz val="9"/>
            <color indexed="81"/>
            <rFont val="Palatino Linotype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Brent Hoover</author>
    <author>Brent Hoover, MBA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Cash basis accounting requires cost method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If "Yes", attach explanation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>
      <text>
        <r>
          <rPr>
            <sz val="9"/>
            <color indexed="81"/>
            <rFont val="Tahoma"/>
            <family val="2"/>
          </rPr>
          <t xml:space="preserve">If different from last year's closing inventory, attach explanation to Schedule C
</t>
        </r>
      </text>
    </comment>
    <comment ref="A7" authorId="1">
      <text>
        <r>
          <rPr>
            <b/>
            <sz val="9"/>
            <color indexed="81"/>
            <rFont val="Palatino Linotype"/>
            <family val="2"/>
          </rPr>
          <t>Do not include any amounts paid to yourself</t>
        </r>
        <r>
          <rPr>
            <sz val="9"/>
            <color indexed="81"/>
            <rFont val="Palatino Linotype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Brent Hoover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amount of starting equity you will inject into 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Identify FUTA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Identify SUTA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If the loan includes working capital, please include it here</t>
        </r>
      </text>
    </comment>
  </commentList>
</comments>
</file>

<file path=xl/comments6.xml><?xml version="1.0" encoding="utf-8"?>
<comments xmlns="http://schemas.openxmlformats.org/spreadsheetml/2006/main">
  <authors>
    <author>Brent Hoover</author>
  </authors>
  <commentList>
    <comment ref="D6" authorId="0">
      <text>
        <r>
          <rPr>
            <b/>
            <sz val="9"/>
            <color indexed="81"/>
            <rFont val="Tahoma"/>
            <charset val="1"/>
          </rPr>
          <t xml:space="preserve">Avg Baseline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Identify FUTA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Identify SUTA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Brent Hoover</author>
  </authors>
  <commentList>
    <comment ref="B29" authorId="0">
      <text>
        <r>
          <rPr>
            <b/>
            <sz val="9"/>
            <color indexed="81"/>
            <rFont val="Tahoma"/>
            <family val="2"/>
          </rPr>
          <t>Identify FUTA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Identify SUTA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Brent Hoover</author>
  </authors>
  <commentList>
    <comment ref="C9" authorId="0">
      <text>
        <r>
          <rPr>
            <sz val="9"/>
            <color indexed="81"/>
            <rFont val="Tahoma"/>
            <family val="2"/>
          </rPr>
          <t xml:space="preserve">Input in Years, NOT months
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</connection>
  <connection id="2" name="WorksheetConnection_Cash Flow &amp; Records.xlsx!Ledger" type="102" refreshedVersion="6" minRefreshableVersion="5" saveData="1"/>
</connections>
</file>

<file path=xl/sharedStrings.xml><?xml version="1.0" encoding="utf-8"?>
<sst xmlns="http://schemas.openxmlformats.org/spreadsheetml/2006/main" count="397" uniqueCount="183">
  <si>
    <t>Date</t>
  </si>
  <si>
    <t>Cash In</t>
  </si>
  <si>
    <t>Contract labor</t>
  </si>
  <si>
    <t>Supplies</t>
  </si>
  <si>
    <t>Advertising</t>
  </si>
  <si>
    <t>Reference #</t>
  </si>
  <si>
    <t>Cash Out</t>
  </si>
  <si>
    <t>Taxes and licenses</t>
  </si>
  <si>
    <t>Other expenses</t>
  </si>
  <si>
    <t>Gross receipts or sales</t>
  </si>
  <si>
    <t>Part I: Income</t>
  </si>
  <si>
    <t>Cost of goods sold</t>
  </si>
  <si>
    <t>Returns and allowances</t>
  </si>
  <si>
    <t>Gross profit</t>
  </si>
  <si>
    <t>Other income</t>
  </si>
  <si>
    <t>Gross income</t>
  </si>
  <si>
    <t>Part II: Expenses</t>
  </si>
  <si>
    <t>Car and truck expenses</t>
  </si>
  <si>
    <t>Commissions and fees</t>
  </si>
  <si>
    <t>Depletion</t>
  </si>
  <si>
    <t>Depreciation</t>
  </si>
  <si>
    <t>Employee benefit programs</t>
  </si>
  <si>
    <t>Insurance (other than health)</t>
  </si>
  <si>
    <t>Interest</t>
  </si>
  <si>
    <t>Mortgage</t>
  </si>
  <si>
    <t>Legal and professional services</t>
  </si>
  <si>
    <t>Office expense</t>
  </si>
  <si>
    <t>Pension and profit-sharing plans</t>
  </si>
  <si>
    <t>Rent or lease</t>
  </si>
  <si>
    <t>Vehicles, machinery, and equipment</t>
  </si>
  <si>
    <t>Other business property</t>
  </si>
  <si>
    <t>Repairs and maintenance</t>
  </si>
  <si>
    <t>Travel</t>
  </si>
  <si>
    <t>Deductible meals and entertainment</t>
  </si>
  <si>
    <t>Utilities</t>
  </si>
  <si>
    <t>Reserved for future use</t>
  </si>
  <si>
    <t>Total expense before</t>
  </si>
  <si>
    <t>Tentative profit or (loss)</t>
  </si>
  <si>
    <t>Expense for business use of home</t>
  </si>
  <si>
    <t>Net profit or (loss)</t>
  </si>
  <si>
    <t>Type</t>
  </si>
  <si>
    <t>Other Interest</t>
  </si>
  <si>
    <t>DBT</t>
  </si>
  <si>
    <t>CRT</t>
  </si>
  <si>
    <t>Check</t>
  </si>
  <si>
    <t>EFT</t>
  </si>
  <si>
    <t>Part III: Cost of Goods Sold</t>
  </si>
  <si>
    <t>Inventory at beginning of year</t>
  </si>
  <si>
    <t>Purchases less cost of items withdrawn for personal use</t>
  </si>
  <si>
    <t>Materials and supplies</t>
  </si>
  <si>
    <t>Other costs</t>
  </si>
  <si>
    <t>Add lines above</t>
  </si>
  <si>
    <t>Inventory at end of year</t>
  </si>
  <si>
    <t>Method(s) used to value closing inventory</t>
  </si>
  <si>
    <t>Cost</t>
  </si>
  <si>
    <t>Lower of cost or market</t>
  </si>
  <si>
    <t>Other (attach explanation to Schedule C)</t>
  </si>
  <si>
    <t>Was there any change in determining quantities, costs, or valuations between opening and closing inventory?</t>
  </si>
  <si>
    <t>Yes</t>
  </si>
  <si>
    <t>No</t>
  </si>
  <si>
    <t>Account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</si>
  <si>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</si>
  <si>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</si>
  <si>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</si>
  <si>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</si>
  <si>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</si>
  <si>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</si>
  <si>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</si>
  <si>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</si>
  <si>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</si>
  <si>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</si>
  <si>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</si>
  <si>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</si>
  <si>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Cost of Goods Sold</t>
  </si>
  <si>
    <t>Gross Receipts or Sales</t>
  </si>
  <si>
    <t>Gross Profit</t>
  </si>
  <si>
    <t>Total Monthly Expenses</t>
  </si>
  <si>
    <t>Net Cash</t>
  </si>
  <si>
    <t>Beginning Monthly Bank Balance</t>
  </si>
  <si>
    <t>Ending Monthly Bank Balance</t>
  </si>
  <si>
    <t>Self-Employment Tax</t>
  </si>
  <si>
    <t>Deduction for one-half of self-employment tax</t>
  </si>
  <si>
    <t>Net profit or (loss) from Schedule C</t>
  </si>
  <si>
    <t>Self-employment tax test</t>
  </si>
  <si>
    <t>Equity from personal sources</t>
  </si>
  <si>
    <t>Bank loan(s)</t>
  </si>
  <si>
    <t>Owner's withdrawal(s)</t>
  </si>
  <si>
    <t>Inventory</t>
  </si>
  <si>
    <t>Cash</t>
  </si>
  <si>
    <t>IRS Mileage Calculator</t>
  </si>
  <si>
    <t>Deductible Miles Expense</t>
  </si>
  <si>
    <t>IRS Mileage Rate</t>
  </si>
  <si>
    <t>Total Miles for Tax Year</t>
  </si>
  <si>
    <t xml:space="preserve">Calendar Working Cash Flow </t>
  </si>
  <si>
    <t>Click for IRS Rate</t>
  </si>
  <si>
    <t>Start-Up</t>
  </si>
  <si>
    <t>Rent or lease (Vehicles, machinery, and equipment)</t>
  </si>
  <si>
    <t>Rent or lease (Other business property)</t>
  </si>
  <si>
    <t>Licenses</t>
  </si>
  <si>
    <t>Wages (or salaries)</t>
  </si>
  <si>
    <t>Capital purchases</t>
  </si>
  <si>
    <t>Debt repayment</t>
  </si>
  <si>
    <t>Net Cash (added or subtracted)</t>
  </si>
  <si>
    <t xml:space="preserve">FUTA </t>
  </si>
  <si>
    <t xml:space="preserve">SUTA </t>
  </si>
  <si>
    <t>Payroll taxes</t>
  </si>
  <si>
    <t>Other taxes</t>
  </si>
  <si>
    <t xml:space="preserve"> Loan Amortization</t>
  </si>
  <si>
    <t>Total Loan Amount</t>
  </si>
  <si>
    <t>Total Interest</t>
  </si>
  <si>
    <t>Down Payment %</t>
  </si>
  <si>
    <t>Down Payment Amount</t>
  </si>
  <si>
    <t>Loan Amount</t>
  </si>
  <si>
    <t>Loan Term</t>
  </si>
  <si>
    <t>Total Principal</t>
  </si>
  <si>
    <t>Rate</t>
  </si>
  <si>
    <t>Total Loan Value</t>
  </si>
  <si>
    <t>Payment</t>
  </si>
  <si>
    <t>Pmt #</t>
  </si>
  <si>
    <t>Beginning
Balance</t>
  </si>
  <si>
    <t>Principal</t>
  </si>
  <si>
    <t>Total Payment</t>
  </si>
  <si>
    <t>Ending
Balance</t>
  </si>
  <si>
    <t>Proceeds from loan</t>
  </si>
  <si>
    <t>Profit Margin</t>
  </si>
  <si>
    <t>Interest Coverage</t>
  </si>
  <si>
    <t>Deductible meals</t>
  </si>
  <si>
    <t xml:space="preserve">Deductible meals </t>
  </si>
  <si>
    <t>Wages</t>
  </si>
  <si>
    <t>Travel and meals</t>
  </si>
  <si>
    <t>Cost of labor. Do not include any amounts paid to yourself.</t>
  </si>
  <si>
    <t>Supplies (not included in Cost of Goods Sold)</t>
  </si>
  <si>
    <t>Wages (less employment credits)</t>
  </si>
  <si>
    <t>Interest: Mortgage (paid to banks, etc.)</t>
  </si>
  <si>
    <t>Interest: Other</t>
  </si>
  <si>
    <t>Rent or lease: Vehicles, machinery, and equipment</t>
  </si>
  <si>
    <t>Rent or lease: Other business property</t>
  </si>
  <si>
    <t>Proceeds from bank loan(s)</t>
  </si>
  <si>
    <t>Business Mileage Ledger</t>
  </si>
  <si>
    <t>General Ledger</t>
  </si>
  <si>
    <t>Name</t>
  </si>
  <si>
    <t>Memo/Description</t>
  </si>
  <si>
    <t>Self-Employment tax owed</t>
  </si>
  <si>
    <t>Company</t>
  </si>
  <si>
    <t>Email</t>
  </si>
  <si>
    <t>Phone</t>
  </si>
  <si>
    <t>Mobile</t>
  </si>
  <si>
    <t>Fax</t>
  </si>
  <si>
    <t>Website</t>
  </si>
  <si>
    <t>Street</t>
  </si>
  <si>
    <t>City</t>
  </si>
  <si>
    <t>State</t>
  </si>
  <si>
    <t>ZIP</t>
  </si>
  <si>
    <t>Country</t>
  </si>
  <si>
    <t>Opening Balance</t>
  </si>
  <si>
    <t>Opening Balance Date</t>
  </si>
  <si>
    <t>Tax Resale No.</t>
  </si>
  <si>
    <t>Customer Type</t>
  </si>
  <si>
    <t>Vendors</t>
  </si>
  <si>
    <t>Tax ID</t>
  </si>
  <si>
    <t>Mileage Purpose</t>
  </si>
  <si>
    <t>Ride-sharing driving</t>
  </si>
  <si>
    <t>Meeting with a client</t>
  </si>
  <si>
    <t>Dropping off supplies</t>
  </si>
  <si>
    <t>Delivery/drop off</t>
  </si>
  <si>
    <t xml:space="preserve">Business meeting </t>
  </si>
  <si>
    <t>Client meeting</t>
  </si>
  <si>
    <t>Trip Date</t>
  </si>
  <si>
    <t>Debt Service Coverage Ratio</t>
  </si>
  <si>
    <t>Miles</t>
  </si>
  <si>
    <t>Mileage Expense</t>
  </si>
  <si>
    <t>Odometer Start</t>
  </si>
  <si>
    <t>Odometer End</t>
  </si>
  <si>
    <t>Transaction Classification</t>
  </si>
  <si>
    <t>Month</t>
  </si>
  <si>
    <t>Number</t>
  </si>
  <si>
    <t>Calculation</t>
  </si>
  <si>
    <t>Calculation2</t>
  </si>
  <si>
    <t>Month3</t>
  </si>
  <si>
    <t>Total</t>
  </si>
  <si>
    <t>Schedule C</t>
  </si>
  <si>
    <t>09-786</t>
  </si>
  <si>
    <t>United Way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</si>
</sst>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0.0"/>
  </numFmts>
  <fonts count="51" x14ac:knownFonts="1">
    <font>
      <sz val="12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2"/>
      <color theme="1"/>
      <name val="Garamond"/>
      <family val="2"/>
      <scheme val="minor"/>
    </font>
    <font>
      <sz val="12"/>
      <color theme="1"/>
      <name val="Garamond"/>
      <family val="2"/>
      <scheme val="minor"/>
    </font>
    <font>
      <sz val="12"/>
      <color theme="1"/>
      <name val="Garamond"/>
      <family val="2"/>
      <scheme val="minor"/>
    </font>
    <font>
      <b/>
      <sz val="12"/>
      <color theme="0"/>
      <name val="Garamond"/>
      <family val="2"/>
      <scheme val="minor"/>
    </font>
    <font>
      <sz val="11"/>
      <color theme="1" tint="0.24994659260841701"/>
      <name val="Garamond"/>
      <family val="2"/>
      <scheme val="minor"/>
    </font>
    <font>
      <u/>
      <sz val="12"/>
      <color theme="10"/>
      <name val="Garamond"/>
      <family val="2"/>
      <scheme val="minor"/>
    </font>
    <font>
      <u/>
      <sz val="12"/>
      <color theme="11"/>
      <name val="Garamond"/>
      <family val="2"/>
      <scheme val="minor"/>
    </font>
    <font>
      <b/>
      <sz val="12"/>
      <color theme="1"/>
      <name val="Garamond"/>
      <family val="2"/>
      <scheme val="minor"/>
    </font>
    <font>
      <sz val="8"/>
      <name val="Garamond"/>
      <family val="2"/>
      <scheme val="minor"/>
    </font>
    <font>
      <b/>
      <sz val="15"/>
      <color theme="3"/>
      <name val="Garamond"/>
      <family val="2"/>
      <scheme val="minor"/>
    </font>
    <font>
      <b/>
      <sz val="13"/>
      <color theme="3"/>
      <name val="Garamond"/>
      <family val="2"/>
      <scheme val="minor"/>
    </font>
    <font>
      <sz val="9"/>
      <color indexed="81"/>
      <name val="Palatino Linotype"/>
      <family val="2"/>
    </font>
    <font>
      <b/>
      <sz val="9"/>
      <color indexed="81"/>
      <name val="Palatino Linotype"/>
      <family val="2"/>
    </font>
    <font>
      <b/>
      <sz val="13"/>
      <color theme="0"/>
      <name val="Garamond"/>
      <family val="1"/>
      <scheme val="minor"/>
    </font>
    <font>
      <sz val="12"/>
      <color theme="1"/>
      <name val="Palatino Linotype"/>
      <family val="1"/>
    </font>
    <font>
      <b/>
      <sz val="16"/>
      <color theme="1"/>
      <name val="Garamond"/>
      <family val="1"/>
      <scheme val="minor"/>
    </font>
    <font>
      <b/>
      <sz val="11"/>
      <color theme="1"/>
      <name val="Garamond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3"/>
      <name val="Garamond"/>
      <family val="2"/>
      <scheme val="major"/>
    </font>
    <font>
      <b/>
      <sz val="11"/>
      <color theme="3"/>
      <name val="Garamond"/>
      <family val="2"/>
      <scheme val="minor"/>
    </font>
    <font>
      <sz val="11"/>
      <color theme="3"/>
      <name val="Garamond"/>
      <family val="1"/>
      <scheme val="minor"/>
    </font>
    <font>
      <b/>
      <sz val="11"/>
      <color theme="3"/>
      <name val="Garamond"/>
      <family val="1"/>
      <scheme val="minor"/>
    </font>
    <font>
      <sz val="12"/>
      <color theme="1"/>
      <name val="Garamond"/>
      <family val="1"/>
      <scheme val="minor"/>
    </font>
    <font>
      <b/>
      <sz val="18"/>
      <color theme="3"/>
      <name val="Garamond"/>
      <family val="2"/>
      <scheme val="major"/>
    </font>
    <font>
      <sz val="8"/>
      <name val="Arial"/>
      <family val="2"/>
    </font>
    <font>
      <sz val="12"/>
      <name val="Garamond"/>
      <family val="2"/>
      <scheme val="minor"/>
    </font>
    <font>
      <sz val="12"/>
      <color rgb="FF000000"/>
      <name val="Garamond"/>
      <family val="2"/>
      <scheme val="minor"/>
    </font>
    <font>
      <sz val="10"/>
      <name val="Arial"/>
      <family val="2"/>
    </font>
    <font>
      <sz val="12"/>
      <name val="Garamond"/>
      <family val="1"/>
      <scheme val="minor"/>
    </font>
    <font>
      <i/>
      <sz val="11"/>
      <color theme="1"/>
      <name val="Garamond"/>
      <family val="1"/>
      <scheme val="minor"/>
    </font>
    <font>
      <sz val="11"/>
      <color theme="0"/>
      <name val="Garamond"/>
      <family val="2"/>
      <scheme val="minor"/>
    </font>
    <font>
      <b/>
      <i/>
      <sz val="11"/>
      <color theme="3"/>
      <name val="Garamond"/>
      <family val="1"/>
      <scheme val="minor"/>
    </font>
    <font>
      <i/>
      <sz val="11"/>
      <color theme="3"/>
      <name val="Garamond"/>
      <family val="1"/>
      <scheme val="minor"/>
    </font>
    <font>
      <i/>
      <sz val="12"/>
      <color theme="1"/>
      <name val="Garamond"/>
      <family val="1"/>
      <scheme val="minor"/>
    </font>
    <font>
      <b/>
      <sz val="11"/>
      <color theme="1"/>
      <name val="Garamond"/>
      <family val="1"/>
      <scheme val="minor"/>
    </font>
    <font>
      <u/>
      <sz val="11"/>
      <color theme="10"/>
      <name val="Garamond"/>
      <family val="2"/>
      <scheme val="minor"/>
    </font>
    <font>
      <b/>
      <sz val="12"/>
      <color theme="1"/>
      <name val="Garamond"/>
      <family val="1"/>
      <scheme val="minor"/>
    </font>
    <font>
      <b/>
      <sz val="18"/>
      <color theme="3"/>
      <name val="Agency FB"/>
      <family val="2"/>
    </font>
    <font>
      <i/>
      <sz val="9"/>
      <color indexed="81"/>
      <name val="Tahoma"/>
      <family val="2"/>
    </font>
    <font>
      <b/>
      <sz val="36"/>
      <color theme="3"/>
      <name val="Agency FB"/>
      <family val="2"/>
    </font>
    <font>
      <sz val="11"/>
      <color theme="1"/>
      <name val="Garamond"/>
      <family val="1"/>
      <scheme val="minor"/>
    </font>
    <font>
      <b/>
      <sz val="18"/>
      <color theme="7"/>
      <name val="Agency FB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270">
        <stop position="0">
          <color rgb="FFF1F1F1"/>
        </stop>
        <stop position="1">
          <color theme="5" tint="0.40000610370189521"/>
        </stop>
      </gradient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002060"/>
      </top>
      <bottom style="thin">
        <color rgb="FF002060"/>
      </bottom>
      <diagonal/>
    </border>
    <border>
      <left style="thin">
        <color auto="1"/>
      </left>
      <right style="medium">
        <color auto="1"/>
      </right>
      <top style="thin">
        <color rgb="FF002060"/>
      </top>
      <bottom style="thin">
        <color rgb="FF00206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rgb="FF00206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rgb="FF002060"/>
      </top>
      <bottom style="medium">
        <color auto="1"/>
      </bottom>
      <diagonal/>
    </border>
    <border>
      <left/>
      <right/>
      <top/>
      <bottom style="thick">
        <color rgb="FF83992A"/>
      </bottom>
      <diagonal/>
    </border>
  </borders>
  <cellStyleXfs count="133">
    <xf numFmtId="0" fontId="0" fillId="0" borderId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44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5" fillId="17" borderId="0" applyNumberFormat="0" applyBorder="0" applyAlignment="0" applyProtection="0"/>
    <xf numFmtId="9" fontId="6" fillId="0" borderId="0" applyFont="0" applyFill="0" applyBorder="0" applyAlignment="0" applyProtection="0"/>
    <xf numFmtId="0" fontId="37" fillId="18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2" fillId="20" borderId="0" applyNumberFormat="0" applyBorder="0" applyAlignment="0" applyProtection="0"/>
  </cellStyleXfs>
  <cellXfs count="149">
    <xf numFmtId="0" fontId="0" fillId="0" borderId="0" xfId="0"/>
    <xf numFmtId="44" fontId="0" fillId="0" borderId="0" xfId="9" applyFont="1"/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0" xfId="0" applyFont="1" applyAlignment="1">
      <alignment horizontal="center"/>
    </xf>
    <xf numFmtId="44" fontId="0" fillId="0" borderId="0" xfId="9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9" applyNumberFormat="1" applyFont="1"/>
    <xf numFmtId="164" fontId="13" fillId="0" borderId="3" xfId="9" applyNumberFormat="1" applyFont="1" applyBorder="1"/>
    <xf numFmtId="44" fontId="7" fillId="0" borderId="0" xfId="9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6" fillId="0" borderId="0" xfId="118"/>
    <xf numFmtId="0" fontId="0" fillId="0" borderId="0" xfId="0" applyBorder="1"/>
    <xf numFmtId="0" fontId="0" fillId="0" borderId="0" xfId="0" applyProtection="1"/>
    <xf numFmtId="44" fontId="26" fillId="0" borderId="4" xfId="9" applyFont="1" applyBorder="1" applyAlignment="1" applyProtection="1">
      <alignment horizontal="center"/>
    </xf>
    <xf numFmtId="44" fontId="27" fillId="0" borderId="4" xfId="9" applyFont="1" applyBorder="1" applyProtection="1"/>
    <xf numFmtId="0" fontId="27" fillId="0" borderId="4" xfId="118" applyFont="1" applyBorder="1" applyProtection="1"/>
    <xf numFmtId="0" fontId="27" fillId="0" borderId="4" xfId="118" applyFont="1" applyBorder="1" applyAlignment="1" applyProtection="1">
      <alignment horizontal="left"/>
    </xf>
    <xf numFmtId="44" fontId="0" fillId="0" borderId="0" xfId="9" applyFont="1" applyProtection="1"/>
    <xf numFmtId="0" fontId="26" fillId="12" borderId="4" xfId="118" applyFill="1" applyBorder="1" applyProtection="1"/>
    <xf numFmtId="44" fontId="27" fillId="12" borderId="4" xfId="9" applyFont="1" applyFill="1" applyBorder="1" applyProtection="1"/>
    <xf numFmtId="0" fontId="26" fillId="13" borderId="4" xfId="118" applyFill="1" applyBorder="1" applyProtection="1"/>
    <xf numFmtId="44" fontId="27" fillId="13" borderId="4" xfId="9" applyFont="1" applyFill="1" applyBorder="1" applyProtection="1"/>
    <xf numFmtId="0" fontId="26" fillId="14" borderId="4" xfId="118" applyFill="1" applyBorder="1" applyProtection="1"/>
    <xf numFmtId="0" fontId="26" fillId="15" borderId="4" xfId="118" applyFill="1" applyBorder="1" applyProtection="1"/>
    <xf numFmtId="44" fontId="28" fillId="13" borderId="4" xfId="9" applyFont="1" applyFill="1" applyBorder="1" applyProtection="1"/>
    <xf numFmtId="0" fontId="27" fillId="12" borderId="4" xfId="118" applyFont="1" applyFill="1" applyBorder="1" applyProtection="1"/>
    <xf numFmtId="44" fontId="26" fillId="12" borderId="4" xfId="9" applyFont="1" applyFill="1" applyBorder="1" applyProtection="1"/>
    <xf numFmtId="44" fontId="22" fillId="0" borderId="3" xfId="116" applyNumberFormat="1"/>
    <xf numFmtId="164" fontId="26" fillId="0" borderId="3" xfId="118" applyNumberFormat="1" applyBorder="1"/>
    <xf numFmtId="0" fontId="27" fillId="0" borderId="0" xfId="118" applyFont="1"/>
    <xf numFmtId="164" fontId="27" fillId="0" borderId="0" xfId="118" applyNumberFormat="1" applyFont="1" applyAlignment="1">
      <alignment horizontal="center"/>
    </xf>
    <xf numFmtId="164" fontId="27" fillId="0" borderId="0" xfId="118" applyNumberFormat="1" applyFont="1"/>
    <xf numFmtId="164" fontId="27" fillId="0" borderId="3" xfId="118" applyNumberFormat="1" applyFont="1" applyBorder="1"/>
    <xf numFmtId="0" fontId="28" fillId="0" borderId="0" xfId="118" applyFont="1"/>
    <xf numFmtId="44" fontId="26" fillId="14" borderId="4" xfId="9" applyFont="1" applyFill="1" applyBorder="1" applyProtection="1"/>
    <xf numFmtId="44" fontId="28" fillId="15" borderId="4" xfId="9" applyFont="1" applyFill="1" applyBorder="1" applyProtection="1"/>
    <xf numFmtId="44" fontId="28" fillId="12" borderId="4" xfId="9" applyFont="1" applyFill="1" applyBorder="1" applyProtection="1"/>
    <xf numFmtId="165" fontId="0" fillId="0" borderId="0" xfId="9" applyNumberFormat="1" applyFont="1"/>
    <xf numFmtId="0" fontId="11" fillId="0" borderId="0" xfId="119"/>
    <xf numFmtId="3" fontId="0" fillId="0" borderId="0" xfId="9" applyNumberFormat="1" applyFont="1"/>
    <xf numFmtId="0" fontId="14" fillId="0" borderId="0" xfId="121" applyFont="1" applyFill="1" applyBorder="1"/>
    <xf numFmtId="0" fontId="31" fillId="0" borderId="0" xfId="121"/>
    <xf numFmtId="0" fontId="14" fillId="0" borderId="13" xfId="121" applyFont="1" applyFill="1" applyBorder="1"/>
    <xf numFmtId="0" fontId="32" fillId="0" borderId="0" xfId="121" applyFont="1" applyFill="1" applyBorder="1" applyAlignment="1"/>
    <xf numFmtId="0" fontId="32" fillId="0" borderId="14" xfId="121" applyFont="1" applyFill="1" applyBorder="1" applyAlignment="1">
      <alignment horizontal="center"/>
    </xf>
    <xf numFmtId="0" fontId="33" fillId="0" borderId="15" xfId="121" applyFont="1" applyFill="1" applyBorder="1" applyAlignment="1"/>
    <xf numFmtId="44" fontId="32" fillId="0" borderId="16" xfId="122" applyFont="1" applyFill="1" applyBorder="1" applyAlignment="1"/>
    <xf numFmtId="44" fontId="32" fillId="0" borderId="17" xfId="122" applyFont="1" applyFill="1" applyBorder="1" applyAlignment="1"/>
    <xf numFmtId="0" fontId="32" fillId="0" borderId="18" xfId="121" applyFont="1" applyFill="1" applyBorder="1" applyAlignment="1"/>
    <xf numFmtId="44" fontId="32" fillId="0" borderId="19" xfId="122" applyFont="1" applyFill="1" applyBorder="1" applyAlignment="1"/>
    <xf numFmtId="10" fontId="32" fillId="0" borderId="16" xfId="122" applyNumberFormat="1" applyFont="1" applyFill="1" applyBorder="1" applyAlignment="1"/>
    <xf numFmtId="0" fontId="32" fillId="0" borderId="15" xfId="121" applyFont="1" applyFill="1" applyBorder="1" applyAlignment="1"/>
    <xf numFmtId="0" fontId="32" fillId="0" borderId="16" xfId="122" applyNumberFormat="1" applyFont="1" applyFill="1" applyBorder="1" applyAlignment="1"/>
    <xf numFmtId="0" fontId="32" fillId="0" borderId="17" xfId="122" applyNumberFormat="1" applyFont="1" applyFill="1" applyBorder="1" applyAlignment="1"/>
    <xf numFmtId="8" fontId="32" fillId="0" borderId="16" xfId="122" applyNumberFormat="1" applyFont="1" applyFill="1" applyBorder="1" applyAlignment="1"/>
    <xf numFmtId="0" fontId="31" fillId="0" borderId="0" xfId="121" applyBorder="1"/>
    <xf numFmtId="0" fontId="14" fillId="0" borderId="20" xfId="121" applyFont="1" applyFill="1" applyBorder="1"/>
    <xf numFmtId="0" fontId="32" fillId="0" borderId="21" xfId="121" applyNumberFormat="1" applyFont="1" applyFill="1" applyBorder="1" applyAlignment="1"/>
    <xf numFmtId="0" fontId="32" fillId="0" borderId="21" xfId="123" applyNumberFormat="1" applyFont="1" applyFill="1" applyBorder="1" applyAlignment="1">
      <alignment horizontal="center"/>
    </xf>
    <xf numFmtId="0" fontId="32" fillId="0" borderId="22" xfId="123" applyNumberFormat="1" applyFont="1" applyFill="1" applyBorder="1" applyAlignment="1">
      <alignment horizontal="center"/>
    </xf>
    <xf numFmtId="0" fontId="14" fillId="0" borderId="21" xfId="121" applyNumberFormat="1" applyFont="1" applyFill="1" applyBorder="1"/>
    <xf numFmtId="0" fontId="14" fillId="0" borderId="23" xfId="121" applyNumberFormat="1" applyFont="1" applyFill="1" applyBorder="1"/>
    <xf numFmtId="0" fontId="22" fillId="0" borderId="4" xfId="121" applyFont="1" applyBorder="1" applyAlignment="1">
      <alignment horizontal="center"/>
    </xf>
    <xf numFmtId="0" fontId="22" fillId="0" borderId="4" xfId="121" applyFont="1" applyBorder="1" applyAlignment="1">
      <alignment horizontal="center" wrapText="1"/>
    </xf>
    <xf numFmtId="44" fontId="29" fillId="0" borderId="4" xfId="122" applyFont="1" applyBorder="1"/>
    <xf numFmtId="0" fontId="35" fillId="0" borderId="4" xfId="121" applyFont="1" applyBorder="1"/>
    <xf numFmtId="44" fontId="35" fillId="0" borderId="4" xfId="121" applyNumberFormat="1" applyFont="1" applyBorder="1"/>
    <xf numFmtId="0" fontId="36" fillId="17" borderId="4" xfId="124" applyFont="1" applyBorder="1"/>
    <xf numFmtId="9" fontId="36" fillId="17" borderId="4" xfId="125" applyFont="1" applyFill="1" applyBorder="1"/>
    <xf numFmtId="2" fontId="36" fillId="17" borderId="4" xfId="124" applyNumberFormat="1" applyFont="1" applyBorder="1"/>
    <xf numFmtId="166" fontId="36" fillId="17" borderId="4" xfId="124" applyNumberFormat="1" applyFont="1" applyBorder="1"/>
    <xf numFmtId="164" fontId="37" fillId="18" borderId="0" xfId="126" applyNumberFormat="1"/>
    <xf numFmtId="0" fontId="38" fillId="12" borderId="4" xfId="118" applyFont="1" applyFill="1" applyBorder="1" applyProtection="1"/>
    <xf numFmtId="44" fontId="38" fillId="12" borderId="4" xfId="9" applyFont="1" applyFill="1" applyBorder="1" applyProtection="1"/>
    <xf numFmtId="0" fontId="37" fillId="18" borderId="0" xfId="126" applyNumberFormat="1"/>
    <xf numFmtId="0" fontId="37" fillId="18" borderId="4" xfId="126" applyNumberFormat="1" applyBorder="1"/>
    <xf numFmtId="44" fontId="0" fillId="0" borderId="0" xfId="0" applyNumberFormat="1"/>
    <xf numFmtId="44" fontId="27" fillId="0" borderId="17" xfId="9" applyFont="1" applyFill="1" applyBorder="1" applyProtection="1"/>
    <xf numFmtId="14" fontId="4" fillId="0" borderId="0" xfId="127" applyNumberFormat="1" applyAlignment="1">
      <alignment horizontal="center"/>
    </xf>
    <xf numFmtId="0" fontId="4" fillId="0" borderId="0" xfId="127" applyAlignment="1">
      <alignment horizontal="center"/>
    </xf>
    <xf numFmtId="0" fontId="39" fillId="0" borderId="0" xfId="118" applyFont="1"/>
    <xf numFmtId="44" fontId="40" fillId="0" borderId="0" xfId="9" applyFont="1"/>
    <xf numFmtId="0" fontId="0" fillId="0" borderId="0" xfId="0" applyAlignment="1">
      <alignment horizontal="center" vertical="center"/>
    </xf>
    <xf numFmtId="0" fontId="3" fillId="0" borderId="0" xfId="129"/>
    <xf numFmtId="0" fontId="41" fillId="0" borderId="0" xfId="129" applyFont="1" applyAlignment="1">
      <alignment horizontal="center"/>
    </xf>
    <xf numFmtId="14" fontId="3" fillId="0" borderId="0" xfId="129" applyNumberFormat="1"/>
    <xf numFmtId="0" fontId="26" fillId="21" borderId="4" xfId="118" applyFill="1" applyBorder="1" applyProtection="1"/>
    <xf numFmtId="44" fontId="27" fillId="21" borderId="4" xfId="9" applyFont="1" applyFill="1" applyBorder="1" applyProtection="1"/>
    <xf numFmtId="0" fontId="26" fillId="22" borderId="4" xfId="118" applyFill="1" applyBorder="1" applyProtection="1"/>
    <xf numFmtId="44" fontId="26" fillId="22" borderId="4" xfId="9" applyFont="1" applyFill="1" applyBorder="1" applyProtection="1"/>
    <xf numFmtId="0" fontId="26" fillId="23" borderId="4" xfId="118" applyFill="1" applyBorder="1" applyProtection="1"/>
    <xf numFmtId="44" fontId="26" fillId="23" borderId="4" xfId="9" applyFont="1" applyFill="1" applyBorder="1" applyProtection="1"/>
    <xf numFmtId="14" fontId="2" fillId="0" borderId="0" xfId="127" applyNumberFormat="1" applyFont="1" applyAlignment="1">
      <alignment horizontal="center" vertical="center"/>
    </xf>
    <xf numFmtId="0" fontId="41" fillId="20" borderId="4" xfId="132" applyFont="1" applyBorder="1" applyProtection="1"/>
    <xf numFmtId="44" fontId="41" fillId="20" borderId="4" xfId="132" applyNumberFormat="1" applyFont="1" applyBorder="1" applyProtection="1"/>
    <xf numFmtId="0" fontId="0" fillId="0" borderId="0" xfId="0" applyNumberFormat="1"/>
    <xf numFmtId="2" fontId="0" fillId="0" borderId="0" xfId="0" applyNumberFormat="1"/>
    <xf numFmtId="0" fontId="43" fillId="0" borderId="0" xfId="0" applyFont="1"/>
    <xf numFmtId="1" fontId="0" fillId="0" borderId="0" xfId="0" applyNumberFormat="1" applyAlignment="1">
      <alignment horizontal="center"/>
    </xf>
    <xf numFmtId="0" fontId="2" fillId="0" borderId="0" xfId="127" applyFont="1" applyAlignment="1">
      <alignment horizontal="center"/>
    </xf>
    <xf numFmtId="44" fontId="4" fillId="0" borderId="0" xfId="9" applyFont="1" applyAlignment="1">
      <alignment horizontal="center"/>
    </xf>
    <xf numFmtId="44" fontId="13" fillId="0" borderId="0" xfId="9" applyFont="1" applyAlignment="1">
      <alignment horizontal="center"/>
    </xf>
    <xf numFmtId="44" fontId="6" fillId="0" borderId="0" xfId="9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vertical="center"/>
    </xf>
    <xf numFmtId="0" fontId="6" fillId="0" borderId="0" xfId="9" applyNumberFormat="1" applyFont="1" applyAlignment="1">
      <alignment horizontal="center"/>
    </xf>
    <xf numFmtId="0" fontId="4" fillId="0" borderId="0" xfId="9" applyNumberFormat="1" applyFont="1" applyAlignment="1">
      <alignment horizontal="center"/>
    </xf>
    <xf numFmtId="0" fontId="13" fillId="0" borderId="0" xfId="9" applyNumberFormat="1" applyFont="1" applyAlignment="1">
      <alignment horizontal="center"/>
    </xf>
    <xf numFmtId="0" fontId="0" fillId="0" borderId="0" xfId="9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47" fillId="0" borderId="0" xfId="129" applyFont="1" applyAlignment="1">
      <alignment horizontal="center"/>
    </xf>
    <xf numFmtId="0" fontId="47" fillId="0" borderId="24" xfId="129" applyFont="1" applyFill="1" applyBorder="1" applyAlignment="1">
      <alignment horizontal="center"/>
    </xf>
    <xf numFmtId="0" fontId="1" fillId="0" borderId="0" xfId="127" applyNumberFormat="1" applyFont="1" applyAlignment="1">
      <alignment horizontal="left"/>
    </xf>
    <xf numFmtId="0" fontId="1" fillId="0" borderId="0" xfId="127" applyFont="1" applyAlignment="1">
      <alignment horizontal="left"/>
    </xf>
    <xf numFmtId="0" fontId="11" fillId="0" borderId="0" xfId="119" applyAlignment="1">
      <alignment horizontal="left"/>
    </xf>
    <xf numFmtId="0" fontId="0" fillId="0" borderId="0" xfId="9" applyNumberFormat="1" applyFont="1" applyAlignment="1">
      <alignment horizontal="left"/>
    </xf>
    <xf numFmtId="0" fontId="1" fillId="0" borderId="0" xfId="9" applyNumberFormat="1" applyFont="1" applyAlignment="1">
      <alignment horizontal="left"/>
    </xf>
    <xf numFmtId="0" fontId="11" fillId="0" borderId="0" xfId="119" applyNumberFormat="1" applyAlignment="1">
      <alignment horizontal="left"/>
    </xf>
    <xf numFmtId="0" fontId="0" fillId="0" borderId="0" xfId="0" applyNumberFormat="1" applyAlignment="1">
      <alignment horizontal="center"/>
    </xf>
    <xf numFmtId="0" fontId="47" fillId="0" borderId="0" xfId="0" applyNumberFormat="1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/>
    <xf numFmtId="0" fontId="47" fillId="0" borderId="0" xfId="0" applyNumberFormat="1" applyFont="1" applyFill="1" applyBorder="1" applyAlignment="1" applyProtection="1"/>
    <xf numFmtId="44" fontId="47" fillId="0" borderId="0" xfId="0" applyNumberFormat="1" applyFont="1" applyFill="1" applyBorder="1" applyAlignment="1" applyProtection="1">
      <alignment horizontal="center"/>
    </xf>
    <xf numFmtId="14" fontId="44" fillId="0" borderId="0" xfId="117" applyNumberFormat="1" applyFont="1" applyAlignment="1">
      <alignment horizontal="center" vertical="center"/>
    </xf>
    <xf numFmtId="14" fontId="44" fillId="0" borderId="0" xfId="118" applyNumberFormat="1" applyFont="1" applyAlignment="1">
      <alignment horizontal="center" vertical="center"/>
    </xf>
    <xf numFmtId="0" fontId="46" fillId="0" borderId="0" xfId="118" applyFont="1" applyBorder="1" applyAlignment="1" applyProtection="1">
      <alignment horizontal="center" vertical="center"/>
    </xf>
    <xf numFmtId="14" fontId="48" fillId="0" borderId="0" xfId="118" applyNumberFormat="1" applyFont="1" applyAlignment="1">
      <alignment horizontal="center" vertical="center"/>
    </xf>
    <xf numFmtId="0" fontId="44" fillId="0" borderId="0" xfId="117" applyFont="1" applyAlignment="1">
      <alignment horizontal="center"/>
    </xf>
    <xf numFmtId="0" fontId="3" fillId="0" borderId="0" xfId="129" applyAlignment="1">
      <alignment horizontal="center"/>
    </xf>
    <xf numFmtId="14" fontId="21" fillId="11" borderId="0" xfId="0" applyNumberFormat="1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0" fontId="19" fillId="10" borderId="2" xfId="83" applyFont="1" applyFill="1" applyAlignment="1">
      <alignment horizontal="center"/>
    </xf>
    <xf numFmtId="0" fontId="19" fillId="19" borderId="2" xfId="83" applyFont="1" applyFill="1" applyAlignment="1">
      <alignment horizontal="center"/>
    </xf>
    <xf numFmtId="14" fontId="25" fillId="0" borderId="0" xfId="117" applyNumberFormat="1" applyBorder="1" applyAlignment="1" applyProtection="1">
      <alignment horizontal="center"/>
    </xf>
    <xf numFmtId="0" fontId="25" fillId="0" borderId="0" xfId="117" applyBorder="1" applyAlignment="1" applyProtection="1">
      <alignment horizontal="center"/>
    </xf>
    <xf numFmtId="14" fontId="30" fillId="16" borderId="5" xfId="120" applyNumberFormat="1" applyFont="1" applyFill="1" applyBorder="1" applyAlignment="1">
      <alignment horizontal="center" vertical="center" wrapText="1"/>
    </xf>
    <xf numFmtId="0" fontId="30" fillId="16" borderId="6" xfId="120" applyFont="1" applyFill="1" applyBorder="1" applyAlignment="1">
      <alignment horizontal="center" vertical="center" wrapText="1"/>
    </xf>
    <xf numFmtId="0" fontId="30" fillId="16" borderId="7" xfId="120" applyFont="1" applyFill="1" applyBorder="1" applyAlignment="1">
      <alignment horizontal="center" vertical="center" wrapText="1"/>
    </xf>
    <xf numFmtId="0" fontId="30" fillId="16" borderId="8" xfId="120" applyFont="1" applyFill="1" applyBorder="1" applyAlignment="1">
      <alignment horizontal="center" vertical="center" wrapText="1"/>
    </xf>
    <xf numFmtId="0" fontId="30" fillId="16" borderId="0" xfId="120" applyFont="1" applyFill="1" applyBorder="1" applyAlignment="1">
      <alignment horizontal="center" vertical="center" wrapText="1"/>
    </xf>
    <xf numFmtId="0" fontId="30" fillId="16" borderId="9" xfId="120" applyFont="1" applyFill="1" applyBorder="1" applyAlignment="1">
      <alignment horizontal="center" vertical="center" wrapText="1"/>
    </xf>
    <xf numFmtId="0" fontId="15" fillId="0" borderId="10" xfId="82" applyFill="1" applyBorder="1" applyAlignment="1">
      <alignment horizontal="center"/>
    </xf>
    <xf numFmtId="0" fontId="15" fillId="0" borderId="11" xfId="82" applyFill="1" applyBorder="1" applyAlignment="1">
      <alignment horizontal="center"/>
    </xf>
    <xf numFmtId="0" fontId="15" fillId="0" borderId="12" xfId="82" applyFill="1" applyBorder="1" applyAlignment="1">
      <alignment horizontal="center"/>
    </xf>
  </cellXfs>
  <cellStyles count="133">
    <cellStyle name="20% - Accent2" xfId="132" builtinId="34"/>
    <cellStyle name="40% - Accent6" xfId="124" builtinId="51"/>
    <cellStyle name="60% - Accent1" xfId="2" builtinId="32" customBuiltin="1"/>
    <cellStyle name="60% - Accent2" xfId="4" builtinId="36" customBuiltin="1"/>
    <cellStyle name="60% - Accent3" xfId="6" builtinId="40" customBuiltin="1"/>
    <cellStyle name="60% - Accent6" xfId="126" builtinId="52"/>
    <cellStyle name="Accent1" xfId="1" builtinId="29" customBuiltin="1"/>
    <cellStyle name="Accent2" xfId="3" builtinId="33" customBuiltin="1"/>
    <cellStyle name="Accent3" xfId="5" builtinId="37" customBuiltin="1"/>
    <cellStyle name="Accent4" xfId="7" builtinId="41" customBuiltin="1"/>
    <cellStyle name="Accent5" xfId="8" builtinId="45" customBuiltin="1"/>
    <cellStyle name="Currency" xfId="9" builtinId="4"/>
    <cellStyle name="Currency 2" xfId="122"/>
    <cellStyle name="Currency 3" xfId="128"/>
    <cellStyle name="Currency 4" xfId="13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Heading 1" xfId="82" builtinId="16"/>
    <cellStyle name="Heading 2" xfId="83" builtinId="17"/>
    <cellStyle name="Heading 4" xfId="118" builtinId="19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9" builtinId="8"/>
    <cellStyle name="Hyperlink 2" xfId="130"/>
    <cellStyle name="Normal" xfId="0" builtinId="0" customBuiltin="1"/>
    <cellStyle name="Normal 2" xfId="121"/>
    <cellStyle name="Normal 3" xfId="127"/>
    <cellStyle name="Normal 4" xfId="129"/>
    <cellStyle name="Percent" xfId="125" builtinId="5"/>
    <cellStyle name="Percent 2" xfId="123"/>
    <cellStyle name="Title" xfId="117" builtinId="15"/>
    <cellStyle name="Title 2" xfId="120"/>
    <cellStyle name="Total" xfId="116" builtinId="25"/>
  </cellStyles>
  <dxfs count="85"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bottom style="thick">
          <color rgb="FF83992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numFmt numFmtId="0" formatCode="General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numFmt numFmtId="0" formatCode="General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border outline="0">
        <bottom style="thick">
          <color rgb="FF83992A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Garamond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border outline="0"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Garamond"/>
        <scheme val="minor"/>
      </font>
    </dxf>
    <dxf>
      <font>
        <b/>
        <sz val="11"/>
        <color theme="1"/>
      </font>
    </dxf>
    <dxf>
      <fill>
        <patternFill patternType="solid">
          <fgColor theme="0"/>
          <bgColor rgb="FF7030A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 tint="-0.24994659260841701"/>
          <bgColor theme="4" tint="-0.2499465926084170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 tint="-0.24994659260841701"/>
          <bgColor theme="4" tint="-0.24994659260841701"/>
        </patternFill>
      </fill>
      <border>
        <bottom style="thick">
          <color theme="0"/>
        </bottom>
      </border>
    </dxf>
    <dxf>
      <font>
        <color theme="0"/>
      </font>
      <fill>
        <patternFill patternType="solid">
          <fgColor theme="4" tint="0.39994506668294322"/>
          <bgColor theme="4" tint="0.3999450666829432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 tint="-0.24994659260841701"/>
          <bgColor theme="7" tint="-0.2499465926084170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7" tint="-0.24994659260841701"/>
          <bgColor theme="7" tint="-0.24994659260841701"/>
        </patternFill>
      </fill>
      <border>
        <bottom style="thick">
          <color theme="0"/>
        </bottom>
      </border>
    </dxf>
    <dxf>
      <font>
        <color theme="0"/>
      </font>
      <fill>
        <patternFill patternType="solid">
          <fgColor theme="7" tint="0.39994506668294322"/>
          <bgColor theme="7" tint="0.3999450666829432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3" defaultTableStyle="TableStyleMedium9" defaultPivotStyle="PivotStyleMedium4">
    <tableStyle name="Expense Report" pivot="0" count="7">
      <tableStyleElement type="wholeTable" dxfId="84"/>
      <tableStyleElement type="headerRow" dxfId="83"/>
      <tableStyleElement type="totalRow" dxfId="82"/>
      <tableStyleElement type="firstColumn" dxfId="81"/>
      <tableStyleElement type="lastColumn" dxfId="80"/>
      <tableStyleElement type="firstRowStripe" dxfId="79"/>
      <tableStyleElement type="firstColumnStripe" dxfId="78"/>
    </tableStyle>
    <tableStyle name="Expense Report 2" pivot="0" count="7">
      <tableStyleElement type="wholeTable" dxfId="77"/>
      <tableStyleElement type="headerRow" dxfId="76"/>
      <tableStyleElement type="totalRow" dxfId="75"/>
      <tableStyleElement type="firstColumn" dxfId="74"/>
      <tableStyleElement type="lastColumn" dxfId="73"/>
      <tableStyleElement type="firstRowStripe" dxfId="72"/>
      <tableStyleElement type="firstColumnStripe" dxfId="71"/>
    </tableStyle>
    <tableStyle name="Timeline Style 1" pivot="0" table="0" count="2">
      <tableStyleElement type="wholeTable" dxfId="70"/>
      <tableStyleElement type="headerRow" dxfId="69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E25C1"/>
      <color rgb="FF8A3C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1</xdr:col>
      <xdr:colOff>2028825</xdr:colOff>
      <xdr:row>1</xdr:row>
      <xdr:rowOff>299086</xdr:rowOff>
    </xdr:to>
    <xdr:pic>
      <xdr:nvPicPr>
        <xdr:cNvPr id="2" name="Picture 1" descr="General ledger - Wikipedi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2619374" cy="946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1302398</xdr:colOff>
      <xdr:row>0</xdr:row>
      <xdr:rowOff>165230</xdr:rowOff>
    </xdr:from>
    <xdr:to>
      <xdr:col>2</xdr:col>
      <xdr:colOff>389</xdr:colOff>
      <xdr:row>2</xdr:row>
      <xdr:rowOff>160903</xdr:rowOff>
    </xdr:to>
    <xdr:pic>
      <xdr:nvPicPr>
        <xdr:cNvPr id="2" name="Picture 1" descr="符合居住正義的不動產投資模式 | 幣圖誌Bituzi - 挑戰市場規則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908" y="165230"/>
          <a:ext cx="2011914" cy="13369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2</xdr:col>
      <xdr:colOff>534023</xdr:colOff>
      <xdr:row>1</xdr:row>
      <xdr:rowOff>282969</xdr:rowOff>
    </xdr:to>
    <xdr:pic>
      <xdr:nvPicPr>
        <xdr:cNvPr id="3" name="Picture 2" descr="Sports Car Vector | Free Vector Art at Vecteezy!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8" b="26666"/>
        <a:stretch/>
      </xdr:blipFill>
      <xdr:spPr>
        <a:xfrm>
          <a:off x="171450" y="38100"/>
          <a:ext cx="2497916" cy="892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528925</xdr:colOff>
      <xdr:row>0</xdr:row>
      <xdr:rowOff>0</xdr:rowOff>
    </xdr:from>
    <xdr:to>
      <xdr:col>8</xdr:col>
      <xdr:colOff>383203</xdr:colOff>
      <xdr:row>1</xdr:row>
      <xdr:rowOff>263525</xdr:rowOff>
    </xdr:to>
    <xdr:pic>
      <xdr:nvPicPr>
        <xdr:cNvPr id="3" name="Picture 2" descr="Understanding the Importance of Web Desig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4351" y="0"/>
          <a:ext cx="2668482" cy="12917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404125</xdr:colOff>
      <xdr:row>0</xdr:row>
      <xdr:rowOff>9525</xdr:rowOff>
    </xdr:from>
    <xdr:to>
      <xdr:col>6</xdr:col>
      <xdr:colOff>1276349</xdr:colOff>
      <xdr:row>1</xdr:row>
      <xdr:rowOff>266700</xdr:rowOff>
    </xdr:to>
    <xdr:pic>
      <xdr:nvPicPr>
        <xdr:cNvPr id="2" name="Picture 1" descr="File:Food Vendors in Downtown Vancouver - The Kaboom Box ...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373" b="89967" l="8519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673" t="15643" r="21402" b="15558"/>
        <a:stretch/>
      </xdr:blipFill>
      <xdr:spPr>
        <a:xfrm>
          <a:off x="6928750" y="9525"/>
          <a:ext cx="147229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Hoover,%20LL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s"/>
      <sheetName val="Working Cash Flow"/>
      <sheetName val="Miles"/>
      <sheetName val="Customers"/>
      <sheetName val="Vendors"/>
      <sheetName val="Schedule C (P&amp;L)"/>
      <sheetName val="Cost of Goods Sold"/>
      <sheetName val="Schedule SE"/>
      <sheetName val="IRS Mileage"/>
      <sheetName val="2022 Forecast"/>
      <sheetName val="2023 Forecast"/>
      <sheetName val="Forecast Year 3"/>
      <sheetName val="Amortization Schedule"/>
      <sheetName val="Starting Inventory"/>
      <sheetName val="Insurance"/>
      <sheetName val="Licenses"/>
      <sheetName val="Capital Purchases"/>
      <sheetName val="Employees"/>
      <sheetName val="Forecasting"/>
      <sheetName val="Class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id="1" name="Ledger" displayName="Ledger" ref="A3:J4" headerRowDxfId="68" headerRowBorderDxfId="67">
  <autoFilter ref="A3:J4"/>
  <sortState ref="A4:J13">
    <sortCondition ref="A3:A13"/>
  </sortState>
  <tableColumns count="10">
    <tableColumn id="1" name="Date" totalsRowLabel="Total" dataDxfId="66" totalsRowDxfId="65" dataCellStyle="Normal 3"/>
    <tableColumn id="3" name="Account" dataDxfId="64" totalsRowDxfId="63" dataCellStyle="Normal 3"/>
    <tableColumn id="4" name="Memo/Description" dataDxfId="62" totalsRowDxfId="61" dataCellStyle="Normal 3"/>
    <tableColumn id="5" name="Cash In" totalsRowFunction="sum" dataDxfId="60" totalsRowDxfId="59" dataCellStyle="Currency"/>
    <tableColumn id="6" name="Cash Out" totalsRowFunction="sum" dataDxfId="58" totalsRowDxfId="57" dataCellStyle="Currency"/>
    <tableColumn id="7" name="Type" dataDxfId="56" totalsRowDxfId="55" dataCellStyle="Normal 3"/>
    <tableColumn id="8" name="Reference #" dataDxfId="54" totalsRowDxfId="53" dataCellStyle="Currency"/>
    <tableColumn id="9" name="Transaction Classification" dataDxfId="52" totalsRowDxfId="51" dataCellStyle="Normal 3"/>
    <tableColumn id="10" name="Calculation" totalsRowFunction="sum" dataDxfId="50">
      <calculatedColumnFormula>IF(Ledger[Date]="",0,MONTH(Ledger[Date]))</calculatedColumnFormula>
    </tableColumn>
    <tableColumn id="2" name="Month" dataDxfId="49">
      <calculatedColumnFormula>VLOOKUP(Ledger[Calculation],Classifications!$E$50:$F$62,2,FALSE)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7" name="Miles" displayName="Miles" ref="A3:J5" totalsRowCount="1" headerRowDxfId="48" headerRowBorderDxfId="47">
  <autoFilter ref="A3:J4"/>
  <sortState ref="A4:J13">
    <sortCondition ref="A3:A13"/>
  </sortState>
  <tableColumns count="10">
    <tableColumn id="1" name="Trip Date" totalsRowLabel="Total" dataDxfId="46" totalsRowDxfId="45" dataCellStyle="Normal 3"/>
    <tableColumn id="3" name="Calculation" dataDxfId="44" totalsRowDxfId="43" dataCellStyle="Normal 3"/>
    <tableColumn id="4" name="Month" dataDxfId="42" totalsRowDxfId="41" dataCellStyle="Normal 3"/>
    <tableColumn id="5" name="Odometer Start" dataDxfId="40" totalsRowDxfId="39" dataCellStyle="Currency"/>
    <tableColumn id="6" name="Odometer End" dataDxfId="38" totalsRowDxfId="37" dataCellStyle="Currency"/>
    <tableColumn id="7" name="Mileage Purpose" dataDxfId="36" totalsRowDxfId="35" dataCellStyle="Normal 3"/>
    <tableColumn id="8" name="Miles" totalsRowFunction="sum" dataDxfId="34" totalsRowDxfId="33" dataCellStyle="Currency"/>
    <tableColumn id="9" name="Mileage Expense" totalsRowFunction="sum" dataDxfId="32" totalsRowDxfId="31" dataCellStyle="Currency">
      <calculatedColumnFormula>Miles[Miles]*'IRS Mileage'!$B$4</calculatedColumnFormula>
    </tableColumn>
    <tableColumn id="10" name="Calculation2" totalsRowFunction="sum" dataDxfId="30">
      <calculatedColumnFormula>IF(Miles[Trip Date]="",0,MONTH(Miles[Trip Date]))</calculatedColumnFormula>
    </tableColumn>
    <tableColumn id="2" name="Month3" dataDxfId="29">
      <calculatedColumnFormula>VLOOKUP(Miles[Calculation2],Classifications!$E$50:$F$62,2,FALSE)</calculatedColumnFormula>
    </tableColumn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id="8" name="Ledger9" displayName="Ledger9" ref="A3:P4" headerRowDxfId="28" dataDxfId="26" headerRowBorderDxfId="27" headerRowCellStyle="Normal 4">
  <autoFilter ref="A3:P4"/>
  <sortState ref="A4:J13">
    <sortCondition ref="A3:A13"/>
  </sortState>
  <tableColumns count="16">
    <tableColumn id="1" name="Name" totalsRowLabel="Total" dataDxfId="25" totalsRowDxfId="24" dataCellStyle="Normal 3"/>
    <tableColumn id="3" name="Company" dataDxfId="23" totalsRowDxfId="22" dataCellStyle="Normal 3"/>
    <tableColumn id="4" name="Email" dataDxfId="21" totalsRowDxfId="20" dataCellStyle="Hyperlink"/>
    <tableColumn id="5" name="Phone" totalsRowFunction="sum" dataDxfId="19" totalsRowDxfId="18" dataCellStyle="Currency"/>
    <tableColumn id="6" name="Mobile" totalsRowFunction="sum" dataDxfId="17" totalsRowDxfId="16" dataCellStyle="Currency"/>
    <tableColumn id="7" name="Fax" dataDxfId="15" totalsRowDxfId="14" dataCellStyle="Normal 3"/>
    <tableColumn id="8" name="Website" dataDxfId="13" totalsRowDxfId="12" dataCellStyle="Hyperlink"/>
    <tableColumn id="9" name="Street" dataDxfId="11" totalsRowDxfId="10" dataCellStyle="Normal 3"/>
    <tableColumn id="10" name="City" totalsRowFunction="sum" dataDxfId="9"/>
    <tableColumn id="2" name="State" dataDxfId="8"/>
    <tableColumn id="11" name="ZIP" dataDxfId="7"/>
    <tableColumn id="12" name="Country" dataDxfId="6"/>
    <tableColumn id="13" name="Opening Balance" dataDxfId="5"/>
    <tableColumn id="14" name="Opening Balance Date" dataDxfId="4"/>
    <tableColumn id="15" name="Tax Resale No." dataDxfId="3"/>
    <tableColumn id="16" name="Customer Type" dataDxfId="2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6" name="Vendors" displayName="Vendors" ref="A3:O4" totalsRowShown="0" headerRowDxfId="1">
  <autoFilter ref="A3:O4"/>
  <tableColumns count="15">
    <tableColumn id="1" name="Name"/>
    <tableColumn id="2" name="Company"/>
    <tableColumn id="3" name="Email"/>
    <tableColumn id="4" name="Phone"/>
    <tableColumn id="5" name="Mobile"/>
    <tableColumn id="6" name="Fax"/>
    <tableColumn id="7" name="Website"/>
    <tableColumn id="8" name="Street"/>
    <tableColumn id="9" name="City"/>
    <tableColumn id="10" name="State"/>
    <tableColumn id="11" name="ZIP"/>
    <tableColumn id="12" name="Country"/>
    <tableColumn id="13" name="Opening Balance"/>
    <tableColumn id="14" name="Opening Balance Date" dataDxfId="0"/>
    <tableColumn id="15" name="Tax ID"/>
  </tableColumns>
  <tableStyleInfo name="TableStyleMedium5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s.gov/tax-professionals/standard-mileage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J33"/>
  <sheetViews>
    <sheetView zoomScale="132" zoomScaleNormal="132" zoomScalePageLayoutView="95" workbookViewId="0">
      <selection activeCell="C5" sqref="C5"/>
    </sheetView>
  </sheetViews>
  <sheetFormatPr defaultColWidth="11" defaultRowHeight="15.6" x14ac:dyDescent="0.3"/>
  <cols>
    <col min="1" max="1" width="9.88671875" style="6" bestFit="1" customWidth="1"/>
    <col min="2" max="2" width="29.6640625" style="6" customWidth="1"/>
    <col min="3" max="3" width="44.6640625" style="8" customWidth="1"/>
    <col min="4" max="4" width="13.109375" style="5" bestFit="1" customWidth="1"/>
    <col min="5" max="5" width="14.6640625" style="5" bestFit="1" customWidth="1"/>
    <col min="6" max="6" width="9.33203125" style="5" bestFit="1" customWidth="1"/>
    <col min="7" max="7" width="17.109375" style="8" bestFit="1" customWidth="1"/>
    <col min="8" max="8" width="37" style="8" bestFit="1" customWidth="1"/>
    <col min="9" max="9" width="15.6640625" hidden="1" customWidth="1"/>
    <col min="10" max="10" width="0" hidden="1" customWidth="1"/>
  </cols>
  <sheetData>
    <row r="1" spans="1:10" ht="51" customHeight="1" x14ac:dyDescent="0.3">
      <c r="A1" s="128"/>
      <c r="B1" s="128"/>
      <c r="C1" s="128"/>
      <c r="D1" s="128"/>
      <c r="E1" s="128"/>
      <c r="F1" s="128"/>
      <c r="G1" s="128"/>
      <c r="H1" s="128"/>
    </row>
    <row r="2" spans="1:10" ht="25.5" customHeight="1" x14ac:dyDescent="0.3">
      <c r="A2" s="129" t="s">
        <v>139</v>
      </c>
      <c r="B2" s="129"/>
      <c r="C2" s="129"/>
      <c r="D2" s="129"/>
      <c r="E2" s="129"/>
      <c r="F2" s="129"/>
      <c r="G2" s="129"/>
      <c r="H2" s="129"/>
    </row>
    <row r="3" spans="1:10" ht="15" customHeight="1" x14ac:dyDescent="0.3">
      <c r="A3" s="87" t="s">
        <v>0</v>
      </c>
      <c r="B3" s="87" t="s">
        <v>60</v>
      </c>
      <c r="C3" s="87" t="s">
        <v>141</v>
      </c>
      <c r="D3" s="87" t="s">
        <v>1</v>
      </c>
      <c r="E3" s="87" t="s">
        <v>6</v>
      </c>
      <c r="F3" s="87" t="s">
        <v>40</v>
      </c>
      <c r="G3" s="87" t="s">
        <v>5</v>
      </c>
      <c r="H3" s="87" t="s">
        <v>173</v>
      </c>
      <c r="I3" s="97" t="s">
        <v>176</v>
      </c>
      <c r="J3" s="97" t="s">
        <v>174</v>
      </c>
    </row>
    <row r="4" spans="1:10" ht="15" customHeight="1" x14ac:dyDescent="0.3">
      <c r="A4" s="83"/>
      <c r="B4" s="104"/>
      <c r="C4" s="104"/>
      <c r="D4" s="107"/>
      <c r="E4" s="105"/>
      <c r="F4" s="84"/>
      <c r="G4" s="5"/>
      <c r="H4" s="83"/>
      <c r="I4" s="8">
        <f>IF(Ledger[Date]="",0,MONTH(Ledger[Date]))</f>
        <v>0</v>
      </c>
      <c r="J4" s="8" t="e">
        <f>VLOOKUP(Ledger[Calculation],Classifications!$E$50:$F$62,2,FALSE)</f>
        <v>#N/A</v>
      </c>
    </row>
    <row r="5" spans="1:10" x14ac:dyDescent="0.3">
      <c r="D5" s="106"/>
      <c r="F5" s="8"/>
    </row>
    <row r="6" spans="1:10" x14ac:dyDescent="0.3">
      <c r="D6" s="106"/>
      <c r="F6" s="8"/>
    </row>
    <row r="7" spans="1:10" ht="17.399999999999999" x14ac:dyDescent="0.4">
      <c r="F7" s="8"/>
      <c r="G7" s="13"/>
    </row>
    <row r="8" spans="1:10" x14ac:dyDescent="0.3">
      <c r="F8" s="8"/>
    </row>
    <row r="9" spans="1:10" x14ac:dyDescent="0.3">
      <c r="F9" s="8"/>
    </row>
    <row r="13" spans="1:10" x14ac:dyDescent="0.3">
      <c r="D13" s="12"/>
      <c r="E13" s="12"/>
      <c r="F13" s="12"/>
      <c r="G13" s="4"/>
      <c r="H13" s="4"/>
    </row>
    <row r="14" spans="1:10" x14ac:dyDescent="0.3">
      <c r="G14" s="9"/>
    </row>
    <row r="15" spans="1:10" x14ac:dyDescent="0.3">
      <c r="D15" s="106"/>
      <c r="G15" s="9"/>
      <c r="H15" s="4"/>
    </row>
    <row r="19" spans="4:8" x14ac:dyDescent="0.3">
      <c r="D19" s="107"/>
      <c r="H19" s="4"/>
    </row>
    <row r="20" spans="4:8" x14ac:dyDescent="0.3">
      <c r="D20" s="106"/>
      <c r="G20" s="9"/>
      <c r="H20" s="4"/>
    </row>
    <row r="21" spans="4:8" x14ac:dyDescent="0.3">
      <c r="D21" s="106"/>
      <c r="H21" s="4"/>
    </row>
    <row r="23" spans="4:8" x14ac:dyDescent="0.3">
      <c r="D23" s="106"/>
      <c r="H23" s="2"/>
    </row>
    <row r="24" spans="4:8" x14ac:dyDescent="0.3">
      <c r="D24" s="106"/>
      <c r="H24" s="2"/>
    </row>
    <row r="25" spans="4:8" x14ac:dyDescent="0.3">
      <c r="D25" s="106"/>
      <c r="H25" s="2"/>
    </row>
    <row r="29" spans="4:8" x14ac:dyDescent="0.3">
      <c r="D29" s="106"/>
      <c r="H29" s="2"/>
    </row>
    <row r="30" spans="4:8" x14ac:dyDescent="0.3">
      <c r="D30" s="106"/>
      <c r="H30" s="2"/>
    </row>
    <row r="33" spans="4:8" x14ac:dyDescent="0.3">
      <c r="D33" s="106"/>
      <c r="H33" s="2"/>
    </row>
  </sheetData>
  <mergeCells count="2">
    <mergeCell ref="A1:H1"/>
    <mergeCell ref="A2:H2"/>
  </mergeCells>
  <phoneticPr fontId="14" type="noConversion"/>
  <pageMargins left="0.75" right="0.75" top="1" bottom="1" header="0.5" footer="0.5"/>
  <pageSetup orientation="portrait" verticalDpi="0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>
          <x14:formula1>
            <xm:f>Classifications!$A$1:$A$33</xm:f>
          </x14:formula1>
          <xm:sqref>H4:H1048576</xm:sqref>
        </x14:dataValidation>
        <x14:dataValidation type="list" allowBlank="1" showErrorMessage="1">
          <x14:formula1>
            <xm:f>Classifications!$A$35:$A$39</xm:f>
          </x14:formula1>
          <xm:sqref>F4:F1048576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P45"/>
  <sheetViews>
    <sheetView topLeftCell="A2" zoomScale="93" zoomScaleNormal="93" zoomScalePageLayoutView="91" workbookViewId="0">
      <selection activeCell="A2" sqref="A2:XFD2"/>
    </sheetView>
  </sheetViews>
  <sheetFormatPr defaultColWidth="8.88671875" defaultRowHeight="15.6" x14ac:dyDescent="0.3"/>
  <cols>
    <col min="1" max="1" width="2.109375" customWidth="1"/>
    <col min="2" max="2" width="44.6640625" customWidth="1"/>
    <col min="3" max="15" width="13.109375" customWidth="1"/>
    <col min="16" max="16" width="12.109375" customWidth="1"/>
  </cols>
  <sheetData>
    <row r="1" spans="1:16" ht="23.4" hidden="1" x14ac:dyDescent="0.45">
      <c r="A1" s="138">
        <f>Transactions!A1</f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6" ht="23.4" x14ac:dyDescent="0.45">
      <c r="A2" s="139" t="s">
        <v>182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6" x14ac:dyDescent="0.3">
      <c r="A3" s="17"/>
      <c r="B3" s="17"/>
      <c r="C3" s="18" t="s">
        <v>95</v>
      </c>
      <c r="D3" s="18" t="s">
        <v>61</v>
      </c>
      <c r="E3" s="18" t="s">
        <v>62</v>
      </c>
      <c r="F3" s="18" t="s">
        <v>63</v>
      </c>
      <c r="G3" s="18" t="s">
        <v>64</v>
      </c>
      <c r="H3" s="18" t="s">
        <v>65</v>
      </c>
      <c r="I3" s="18" t="s">
        <v>66</v>
      </c>
      <c r="J3" s="18" t="s">
        <v>67</v>
      </c>
      <c r="K3" s="18" t="s">
        <v>68</v>
      </c>
      <c r="L3" s="18" t="s">
        <v>69</v>
      </c>
      <c r="M3" s="18" t="s">
        <v>70</v>
      </c>
      <c r="N3" s="18" t="s">
        <v>71</v>
      </c>
      <c r="O3" s="18" t="s">
        <v>72</v>
      </c>
    </row>
    <row r="4" spans="1:16" x14ac:dyDescent="0.3">
      <c r="A4" s="17"/>
      <c r="B4" s="25" t="s">
        <v>78</v>
      </c>
      <c r="C4" s="26">
        <v>480000</v>
      </c>
      <c r="D4" s="26">
        <f>C42</f>
        <v>420060</v>
      </c>
      <c r="E4" s="26">
        <f>D42</f>
        <v>416392.15</v>
      </c>
      <c r="F4" s="26">
        <f t="shared" ref="F4:O4" si="0">E42</f>
        <v>427291.95</v>
      </c>
      <c r="G4" s="26">
        <f t="shared" si="0"/>
        <v>528858.68500000006</v>
      </c>
      <c r="H4" s="26">
        <f t="shared" si="0"/>
        <v>447073.13500000007</v>
      </c>
      <c r="I4" s="26">
        <f t="shared" si="0"/>
        <v>370143.26750000007</v>
      </c>
      <c r="J4" s="26">
        <f t="shared" si="0"/>
        <v>376780.30250000005</v>
      </c>
      <c r="K4" s="26">
        <f t="shared" si="0"/>
        <v>326448.63400000008</v>
      </c>
      <c r="L4" s="26">
        <f t="shared" si="0"/>
        <v>288090.47900000005</v>
      </c>
      <c r="M4" s="26">
        <f t="shared" si="0"/>
        <v>299667.15200000006</v>
      </c>
      <c r="N4" s="26">
        <f t="shared" si="0"/>
        <v>209862.22500000003</v>
      </c>
      <c r="O4" s="26">
        <f t="shared" si="0"/>
        <v>176127.73450000005</v>
      </c>
    </row>
    <row r="5" spans="1:16" x14ac:dyDescent="0.3">
      <c r="A5" s="17"/>
      <c r="B5" s="1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x14ac:dyDescent="0.3">
      <c r="A6" s="17"/>
      <c r="B6" s="30" t="s">
        <v>74</v>
      </c>
      <c r="C6" s="80"/>
      <c r="D6" s="24">
        <v>700000</v>
      </c>
      <c r="E6" s="24">
        <v>715000</v>
      </c>
      <c r="F6" s="24">
        <v>705000</v>
      </c>
      <c r="G6" s="24">
        <v>711000</v>
      </c>
      <c r="H6" s="24">
        <v>703000</v>
      </c>
      <c r="I6" s="24">
        <v>692000</v>
      </c>
      <c r="J6" s="24">
        <v>739000</v>
      </c>
      <c r="K6" s="24">
        <v>751000</v>
      </c>
      <c r="L6" s="24">
        <v>698000</v>
      </c>
      <c r="M6" s="24">
        <v>655000</v>
      </c>
      <c r="N6" s="24">
        <v>699000</v>
      </c>
      <c r="O6" s="24">
        <v>707000</v>
      </c>
      <c r="P6" s="81"/>
    </row>
    <row r="7" spans="1:16" x14ac:dyDescent="0.3">
      <c r="A7" s="17"/>
      <c r="B7" s="30" t="s">
        <v>73</v>
      </c>
      <c r="C7" s="24">
        <v>520000</v>
      </c>
      <c r="D7" s="24">
        <v>615005</v>
      </c>
      <c r="E7" s="24">
        <v>612000</v>
      </c>
      <c r="F7" s="24">
        <v>512000</v>
      </c>
      <c r="G7" s="24">
        <v>697000</v>
      </c>
      <c r="H7" s="24">
        <v>687000</v>
      </c>
      <c r="I7" s="24">
        <v>597000</v>
      </c>
      <c r="J7" s="24">
        <v>700000</v>
      </c>
      <c r="K7" s="24">
        <v>698000</v>
      </c>
      <c r="L7" s="24">
        <v>598500</v>
      </c>
      <c r="M7" s="24">
        <v>654112</v>
      </c>
      <c r="N7" s="24">
        <v>645198</v>
      </c>
      <c r="O7" s="24">
        <v>697106</v>
      </c>
    </row>
    <row r="8" spans="1:16" x14ac:dyDescent="0.3">
      <c r="A8" s="17"/>
      <c r="B8" s="23" t="s">
        <v>75</v>
      </c>
      <c r="C8" s="31">
        <f>C6-C7</f>
        <v>-520000</v>
      </c>
      <c r="D8" s="31">
        <f>D6-D7</f>
        <v>84995</v>
      </c>
      <c r="E8" s="31">
        <f t="shared" ref="E8:O8" si="1">E6-E7</f>
        <v>103000</v>
      </c>
      <c r="F8" s="31">
        <f t="shared" si="1"/>
        <v>193000</v>
      </c>
      <c r="G8" s="31">
        <f t="shared" si="1"/>
        <v>14000</v>
      </c>
      <c r="H8" s="31">
        <f t="shared" si="1"/>
        <v>16000</v>
      </c>
      <c r="I8" s="31">
        <f t="shared" si="1"/>
        <v>95000</v>
      </c>
      <c r="J8" s="31">
        <f t="shared" si="1"/>
        <v>39000</v>
      </c>
      <c r="K8" s="31">
        <f t="shared" si="1"/>
        <v>53000</v>
      </c>
      <c r="L8" s="31">
        <f t="shared" si="1"/>
        <v>99500</v>
      </c>
      <c r="M8" s="31">
        <f t="shared" si="1"/>
        <v>888</v>
      </c>
      <c r="N8" s="31">
        <f t="shared" si="1"/>
        <v>53802</v>
      </c>
      <c r="O8" s="31">
        <f t="shared" si="1"/>
        <v>9894</v>
      </c>
    </row>
    <row r="9" spans="1:16" x14ac:dyDescent="0.3">
      <c r="A9" s="17"/>
      <c r="B9" s="1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6" x14ac:dyDescent="0.3">
      <c r="A10" s="17"/>
      <c r="B10" s="20" t="s">
        <v>4</v>
      </c>
      <c r="C10" s="19">
        <v>2000</v>
      </c>
      <c r="D10" s="19">
        <v>575</v>
      </c>
      <c r="E10" s="19">
        <v>575</v>
      </c>
      <c r="F10" s="19">
        <v>575</v>
      </c>
      <c r="G10" s="19">
        <v>575</v>
      </c>
      <c r="H10" s="19">
        <v>575</v>
      </c>
      <c r="I10" s="19">
        <v>575</v>
      </c>
      <c r="J10" s="19">
        <v>575</v>
      </c>
      <c r="K10" s="19">
        <v>575</v>
      </c>
      <c r="L10" s="19">
        <v>575</v>
      </c>
      <c r="M10" s="19">
        <v>575</v>
      </c>
      <c r="N10" s="19">
        <v>575</v>
      </c>
      <c r="O10" s="19">
        <v>575</v>
      </c>
    </row>
    <row r="11" spans="1:16" x14ac:dyDescent="0.3">
      <c r="A11" s="17"/>
      <c r="B11" s="20" t="s">
        <v>17</v>
      </c>
      <c r="C11" s="19">
        <v>0</v>
      </c>
      <c r="D11" s="19">
        <v>250</v>
      </c>
      <c r="E11" s="19">
        <v>250</v>
      </c>
      <c r="F11" s="19">
        <v>250</v>
      </c>
      <c r="G11" s="19">
        <v>250</v>
      </c>
      <c r="H11" s="19">
        <v>250</v>
      </c>
      <c r="I11" s="19">
        <v>250</v>
      </c>
      <c r="J11" s="19">
        <v>250</v>
      </c>
      <c r="K11" s="19">
        <v>250</v>
      </c>
      <c r="L11" s="19">
        <v>250</v>
      </c>
      <c r="M11" s="19">
        <v>250</v>
      </c>
      <c r="N11" s="19">
        <v>250</v>
      </c>
      <c r="O11" s="19">
        <v>250</v>
      </c>
    </row>
    <row r="12" spans="1:16" x14ac:dyDescent="0.3">
      <c r="A12" s="17"/>
      <c r="B12" s="20" t="s">
        <v>18</v>
      </c>
      <c r="C12" s="19">
        <v>0</v>
      </c>
      <c r="D12" s="19">
        <v>30100</v>
      </c>
      <c r="E12" s="19">
        <v>32151</v>
      </c>
      <c r="F12" s="19">
        <v>32100</v>
      </c>
      <c r="G12" s="19">
        <v>33050</v>
      </c>
      <c r="H12" s="19">
        <v>33000</v>
      </c>
      <c r="I12" s="19">
        <v>29000</v>
      </c>
      <c r="J12" s="19">
        <v>29000</v>
      </c>
      <c r="K12" s="19">
        <v>29500</v>
      </c>
      <c r="L12" s="19">
        <v>28544</v>
      </c>
      <c r="M12" s="19">
        <v>29699</v>
      </c>
      <c r="N12" s="19">
        <v>28544</v>
      </c>
      <c r="O12" s="19">
        <v>30155</v>
      </c>
    </row>
    <row r="13" spans="1:16" x14ac:dyDescent="0.3">
      <c r="A13" s="17"/>
      <c r="B13" s="20" t="s">
        <v>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</row>
    <row r="14" spans="1:16" x14ac:dyDescent="0.3">
      <c r="A14" s="17"/>
      <c r="B14" s="20" t="s">
        <v>21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</row>
    <row r="15" spans="1:16" x14ac:dyDescent="0.3">
      <c r="A15" s="17"/>
      <c r="B15" s="20" t="s">
        <v>22</v>
      </c>
      <c r="C15" s="19">
        <v>1500</v>
      </c>
      <c r="D15" s="19">
        <v>1960</v>
      </c>
      <c r="E15" s="19">
        <v>1960</v>
      </c>
      <c r="F15" s="19">
        <v>1960</v>
      </c>
      <c r="G15" s="19">
        <v>1960</v>
      </c>
      <c r="H15" s="19">
        <v>1960</v>
      </c>
      <c r="I15" s="19">
        <v>1960</v>
      </c>
      <c r="J15" s="19">
        <v>1960</v>
      </c>
      <c r="K15" s="19">
        <v>1960</v>
      </c>
      <c r="L15" s="19">
        <v>1960</v>
      </c>
      <c r="M15" s="19">
        <v>1960</v>
      </c>
      <c r="N15" s="19">
        <v>1960</v>
      </c>
      <c r="O15" s="19">
        <v>1960</v>
      </c>
    </row>
    <row r="16" spans="1:16" x14ac:dyDescent="0.3">
      <c r="A16" s="17"/>
      <c r="B16" s="20" t="s">
        <v>25</v>
      </c>
      <c r="C16" s="19">
        <v>1600</v>
      </c>
      <c r="D16" s="19">
        <v>340</v>
      </c>
      <c r="E16" s="19">
        <v>340</v>
      </c>
      <c r="F16" s="19">
        <v>340</v>
      </c>
      <c r="G16" s="19">
        <v>340</v>
      </c>
      <c r="H16" s="19">
        <v>340</v>
      </c>
      <c r="I16" s="19">
        <v>340</v>
      </c>
      <c r="J16" s="19">
        <v>340</v>
      </c>
      <c r="K16" s="19">
        <v>340</v>
      </c>
      <c r="L16" s="19">
        <v>340</v>
      </c>
      <c r="M16" s="19">
        <v>340</v>
      </c>
      <c r="N16" s="19">
        <v>340</v>
      </c>
      <c r="O16" s="19">
        <v>340</v>
      </c>
    </row>
    <row r="17" spans="1:16" x14ac:dyDescent="0.3">
      <c r="A17" s="17"/>
      <c r="B17" s="20" t="s">
        <v>26</v>
      </c>
      <c r="C17" s="19">
        <v>700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</row>
    <row r="18" spans="1:16" x14ac:dyDescent="0.3">
      <c r="A18" s="17"/>
      <c r="B18" s="21" t="s">
        <v>96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</row>
    <row r="19" spans="1:16" x14ac:dyDescent="0.3">
      <c r="A19" s="17"/>
      <c r="B19" s="21" t="s">
        <v>97</v>
      </c>
      <c r="C19" s="19">
        <v>800</v>
      </c>
      <c r="D19" s="19">
        <v>1000</v>
      </c>
      <c r="E19" s="19">
        <v>1000</v>
      </c>
      <c r="F19" s="19">
        <v>1000</v>
      </c>
      <c r="G19" s="19">
        <v>1000</v>
      </c>
      <c r="H19" s="19">
        <v>1000</v>
      </c>
      <c r="I19" s="19">
        <v>1000</v>
      </c>
      <c r="J19" s="19">
        <v>1000</v>
      </c>
      <c r="K19" s="19">
        <v>1000</v>
      </c>
      <c r="L19" s="19">
        <v>1000</v>
      </c>
      <c r="M19" s="19">
        <v>1000</v>
      </c>
      <c r="N19" s="19">
        <v>1000</v>
      </c>
      <c r="O19" s="19">
        <v>1000</v>
      </c>
    </row>
    <row r="20" spans="1:16" x14ac:dyDescent="0.3">
      <c r="A20" s="17"/>
      <c r="B20" s="20" t="s">
        <v>31</v>
      </c>
      <c r="C20" s="19">
        <v>0</v>
      </c>
      <c r="D20" s="19">
        <v>5000</v>
      </c>
      <c r="E20" s="19">
        <v>5000</v>
      </c>
      <c r="F20" s="19">
        <v>5000</v>
      </c>
      <c r="G20" s="19">
        <v>5000</v>
      </c>
      <c r="H20" s="19">
        <v>5000</v>
      </c>
      <c r="I20" s="19">
        <v>5000</v>
      </c>
      <c r="J20" s="19">
        <v>5000</v>
      </c>
      <c r="K20" s="19">
        <v>5000</v>
      </c>
      <c r="L20" s="19">
        <v>5000</v>
      </c>
      <c r="M20" s="19">
        <v>5000</v>
      </c>
      <c r="N20" s="19">
        <v>5000</v>
      </c>
      <c r="O20" s="19">
        <v>5000</v>
      </c>
    </row>
    <row r="21" spans="1:16" x14ac:dyDescent="0.3">
      <c r="A21" s="17"/>
      <c r="B21" s="20" t="s">
        <v>3</v>
      </c>
      <c r="C21" s="19">
        <v>250</v>
      </c>
      <c r="D21" s="19">
        <v>200</v>
      </c>
      <c r="E21" s="19">
        <v>200</v>
      </c>
      <c r="F21" s="19">
        <v>200</v>
      </c>
      <c r="G21" s="19">
        <v>200</v>
      </c>
      <c r="H21" s="19">
        <v>200</v>
      </c>
      <c r="I21" s="19">
        <v>200</v>
      </c>
      <c r="J21" s="19">
        <v>200</v>
      </c>
      <c r="K21" s="19">
        <v>200</v>
      </c>
      <c r="L21" s="19">
        <v>200</v>
      </c>
      <c r="M21" s="19">
        <v>200</v>
      </c>
      <c r="N21" s="19">
        <v>200</v>
      </c>
      <c r="O21" s="19">
        <v>200</v>
      </c>
    </row>
    <row r="22" spans="1:16" x14ac:dyDescent="0.3">
      <c r="A22" s="17"/>
      <c r="B22" s="20" t="s">
        <v>98</v>
      </c>
      <c r="C22" s="19">
        <v>290</v>
      </c>
      <c r="D22" s="19">
        <v>290</v>
      </c>
      <c r="E22" s="19">
        <v>290</v>
      </c>
      <c r="F22" s="19">
        <v>290</v>
      </c>
      <c r="G22" s="19">
        <v>290</v>
      </c>
      <c r="H22" s="19">
        <v>290</v>
      </c>
      <c r="I22" s="19">
        <v>290</v>
      </c>
      <c r="J22" s="19">
        <v>290</v>
      </c>
      <c r="K22" s="19">
        <v>290</v>
      </c>
      <c r="L22" s="19">
        <v>290</v>
      </c>
      <c r="M22" s="19">
        <v>290</v>
      </c>
      <c r="N22" s="19">
        <v>290</v>
      </c>
      <c r="O22" s="19">
        <v>290</v>
      </c>
    </row>
    <row r="23" spans="1:16" x14ac:dyDescent="0.3">
      <c r="A23" s="17"/>
      <c r="B23" s="21" t="s">
        <v>32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</row>
    <row r="24" spans="1:16" x14ac:dyDescent="0.3">
      <c r="A24" s="17"/>
      <c r="B24" s="21" t="s">
        <v>33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</row>
    <row r="25" spans="1:16" x14ac:dyDescent="0.3">
      <c r="A25" s="17"/>
      <c r="B25" s="20" t="s">
        <v>34</v>
      </c>
      <c r="C25" s="19">
        <v>500</v>
      </c>
      <c r="D25" s="19">
        <v>25500</v>
      </c>
      <c r="E25" s="19">
        <v>25000</v>
      </c>
      <c r="F25" s="19">
        <v>27000</v>
      </c>
      <c r="G25" s="19">
        <v>29000</v>
      </c>
      <c r="H25" s="19">
        <v>26000</v>
      </c>
      <c r="I25" s="19">
        <v>25987</v>
      </c>
      <c r="J25" s="19">
        <v>26545</v>
      </c>
      <c r="K25" s="19">
        <v>29784</v>
      </c>
      <c r="L25" s="19">
        <v>27987</v>
      </c>
      <c r="M25" s="19">
        <v>28547</v>
      </c>
      <c r="N25" s="19">
        <v>25274</v>
      </c>
      <c r="O25" s="19">
        <v>25900</v>
      </c>
    </row>
    <row r="26" spans="1:16" x14ac:dyDescent="0.3">
      <c r="A26" s="17"/>
      <c r="B26" s="20" t="s">
        <v>99</v>
      </c>
      <c r="C26" s="82">
        <v>0</v>
      </c>
      <c r="D26" s="82">
        <v>2900</v>
      </c>
      <c r="E26" s="82">
        <v>2800</v>
      </c>
      <c r="F26" s="82">
        <v>2610</v>
      </c>
      <c r="G26" s="82">
        <v>2700</v>
      </c>
      <c r="H26" s="82">
        <v>2695</v>
      </c>
      <c r="I26" s="82">
        <v>2410</v>
      </c>
      <c r="J26" s="82">
        <v>2569</v>
      </c>
      <c r="K26" s="82">
        <v>2470</v>
      </c>
      <c r="L26" s="82">
        <v>2398</v>
      </c>
      <c r="M26" s="82">
        <v>2798</v>
      </c>
      <c r="N26" s="82">
        <v>2597</v>
      </c>
      <c r="O26" s="82">
        <v>2870</v>
      </c>
      <c r="P26" s="81"/>
    </row>
    <row r="27" spans="1:16" x14ac:dyDescent="0.3">
      <c r="A27" s="17"/>
      <c r="B27" s="20" t="s">
        <v>8</v>
      </c>
      <c r="C27" s="19">
        <v>1900</v>
      </c>
      <c r="D27" s="19">
        <v>15000</v>
      </c>
      <c r="E27" s="19">
        <v>17000</v>
      </c>
      <c r="F27" s="19">
        <v>14600</v>
      </c>
      <c r="G27" s="19">
        <v>15900</v>
      </c>
      <c r="H27" s="19">
        <v>16100</v>
      </c>
      <c r="I27" s="19">
        <v>15870</v>
      </c>
      <c r="J27" s="19">
        <v>16100</v>
      </c>
      <c r="K27" s="19">
        <v>14500</v>
      </c>
      <c r="L27" s="19">
        <v>13900</v>
      </c>
      <c r="M27" s="19">
        <v>14500</v>
      </c>
      <c r="N27" s="19">
        <v>16000</v>
      </c>
      <c r="O27" s="19">
        <v>17500</v>
      </c>
    </row>
    <row r="28" spans="1:16" x14ac:dyDescent="0.3">
      <c r="A28" s="17"/>
      <c r="B28" s="20" t="s">
        <v>105</v>
      </c>
      <c r="C28" s="19">
        <v>0</v>
      </c>
      <c r="D28" s="19">
        <f>D26*0.0765</f>
        <v>221.85</v>
      </c>
      <c r="E28" s="19">
        <f t="shared" ref="E28:O28" si="2">E26*0.0765</f>
        <v>214.2</v>
      </c>
      <c r="F28" s="19">
        <f t="shared" si="2"/>
        <v>199.66499999999999</v>
      </c>
      <c r="G28" s="19">
        <f t="shared" si="2"/>
        <v>206.54999999999998</v>
      </c>
      <c r="H28" s="19">
        <f t="shared" si="2"/>
        <v>206.16749999999999</v>
      </c>
      <c r="I28" s="19">
        <f t="shared" si="2"/>
        <v>184.36500000000001</v>
      </c>
      <c r="J28" s="19">
        <f t="shared" si="2"/>
        <v>196.52850000000001</v>
      </c>
      <c r="K28" s="19">
        <f t="shared" si="2"/>
        <v>188.95499999999998</v>
      </c>
      <c r="L28" s="19">
        <f t="shared" si="2"/>
        <v>183.447</v>
      </c>
      <c r="M28" s="19">
        <f t="shared" si="2"/>
        <v>214.047</v>
      </c>
      <c r="N28" s="19">
        <f t="shared" si="2"/>
        <v>198.6705</v>
      </c>
      <c r="O28" s="19">
        <f t="shared" si="2"/>
        <v>219.55500000000001</v>
      </c>
    </row>
    <row r="29" spans="1:16" x14ac:dyDescent="0.3">
      <c r="A29" s="17"/>
      <c r="B29" s="20" t="s">
        <v>103</v>
      </c>
      <c r="C29" s="19">
        <v>0</v>
      </c>
      <c r="D29" s="19">
        <f>D26*0.006</f>
        <v>17.400000000000002</v>
      </c>
      <c r="E29" s="19">
        <f t="shared" ref="E29:O29" si="3">E26*0.006</f>
        <v>16.8</v>
      </c>
      <c r="F29" s="19">
        <f t="shared" si="3"/>
        <v>15.66</v>
      </c>
      <c r="G29" s="19">
        <f t="shared" si="3"/>
        <v>16.2</v>
      </c>
      <c r="H29" s="19">
        <f t="shared" si="3"/>
        <v>16.170000000000002</v>
      </c>
      <c r="I29" s="19">
        <f t="shared" si="3"/>
        <v>14.46</v>
      </c>
      <c r="J29" s="19">
        <f t="shared" si="3"/>
        <v>15.414</v>
      </c>
      <c r="K29" s="19">
        <f t="shared" si="3"/>
        <v>14.82</v>
      </c>
      <c r="L29" s="19">
        <f t="shared" si="3"/>
        <v>14.388</v>
      </c>
      <c r="M29" s="19">
        <f t="shared" si="3"/>
        <v>16.788</v>
      </c>
      <c r="N29" s="19">
        <f t="shared" si="3"/>
        <v>15.582000000000001</v>
      </c>
      <c r="O29" s="19">
        <f t="shared" si="3"/>
        <v>17.22</v>
      </c>
    </row>
    <row r="30" spans="1:16" x14ac:dyDescent="0.3">
      <c r="A30" s="17"/>
      <c r="B30" s="20" t="s">
        <v>104</v>
      </c>
      <c r="C30" s="19">
        <v>0</v>
      </c>
      <c r="D30" s="19">
        <f>D26*0.054</f>
        <v>156.6</v>
      </c>
      <c r="E30" s="19">
        <f t="shared" ref="E30:O30" si="4">E26*0.054</f>
        <v>151.19999999999999</v>
      </c>
      <c r="F30" s="19">
        <f t="shared" si="4"/>
        <v>140.94</v>
      </c>
      <c r="G30" s="19">
        <f t="shared" si="4"/>
        <v>145.80000000000001</v>
      </c>
      <c r="H30" s="19">
        <f t="shared" si="4"/>
        <v>145.53</v>
      </c>
      <c r="I30" s="19">
        <f t="shared" si="4"/>
        <v>130.13999999999999</v>
      </c>
      <c r="J30" s="19">
        <f t="shared" si="4"/>
        <v>138.726</v>
      </c>
      <c r="K30" s="19">
        <f t="shared" si="4"/>
        <v>133.38</v>
      </c>
      <c r="L30" s="19">
        <f t="shared" si="4"/>
        <v>129.49199999999999</v>
      </c>
      <c r="M30" s="19">
        <f t="shared" si="4"/>
        <v>151.09199999999998</v>
      </c>
      <c r="N30" s="19">
        <f t="shared" si="4"/>
        <v>140.238</v>
      </c>
      <c r="O30" s="19">
        <f t="shared" si="4"/>
        <v>154.97999999999999</v>
      </c>
    </row>
    <row r="31" spans="1:16" x14ac:dyDescent="0.3">
      <c r="A31" s="17"/>
      <c r="B31" s="27" t="s">
        <v>76</v>
      </c>
      <c r="C31" s="39">
        <f>SUM(C10:C30)</f>
        <v>9540</v>
      </c>
      <c r="D31" s="39">
        <f t="shared" ref="D31:O31" si="5">SUM(D10:D30)</f>
        <v>83510.850000000006</v>
      </c>
      <c r="E31" s="39">
        <f t="shared" si="5"/>
        <v>86948.2</v>
      </c>
      <c r="F31" s="39">
        <f t="shared" si="5"/>
        <v>86281.264999999999</v>
      </c>
      <c r="G31" s="39">
        <f t="shared" si="5"/>
        <v>90633.55</v>
      </c>
      <c r="H31" s="39">
        <f t="shared" si="5"/>
        <v>87777.867499999993</v>
      </c>
      <c r="I31" s="39">
        <f t="shared" si="5"/>
        <v>83210.965000000011</v>
      </c>
      <c r="J31" s="39">
        <f t="shared" si="5"/>
        <v>84179.6685</v>
      </c>
      <c r="K31" s="39">
        <f t="shared" si="5"/>
        <v>86206.155000000013</v>
      </c>
      <c r="L31" s="39">
        <f t="shared" si="5"/>
        <v>82771.327000000005</v>
      </c>
      <c r="M31" s="39">
        <f t="shared" si="5"/>
        <v>85540.927000000011</v>
      </c>
      <c r="N31" s="39">
        <f t="shared" si="5"/>
        <v>82384.490499999985</v>
      </c>
      <c r="O31" s="39">
        <f t="shared" si="5"/>
        <v>86431.75499999999</v>
      </c>
      <c r="P31" s="81"/>
    </row>
    <row r="32" spans="1:16" x14ac:dyDescent="0.3">
      <c r="A32" s="17"/>
      <c r="B32" s="17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3">
      <c r="A33" s="17"/>
      <c r="B33" s="28" t="s">
        <v>39</v>
      </c>
      <c r="C33" s="40">
        <f t="shared" ref="C33:O33" si="6">C8-C31</f>
        <v>-529540</v>
      </c>
      <c r="D33" s="40">
        <f t="shared" si="6"/>
        <v>1484.1499999999942</v>
      </c>
      <c r="E33" s="40">
        <f t="shared" si="6"/>
        <v>16051.800000000003</v>
      </c>
      <c r="F33" s="40">
        <f t="shared" si="6"/>
        <v>106718.735</v>
      </c>
      <c r="G33" s="40">
        <f t="shared" si="6"/>
        <v>-76633.55</v>
      </c>
      <c r="H33" s="40">
        <f t="shared" si="6"/>
        <v>-71777.867499999993</v>
      </c>
      <c r="I33" s="40">
        <f t="shared" si="6"/>
        <v>11789.034999999989</v>
      </c>
      <c r="J33" s="40">
        <f t="shared" si="6"/>
        <v>-45179.6685</v>
      </c>
      <c r="K33" s="40">
        <f t="shared" si="6"/>
        <v>-33206.155000000013</v>
      </c>
      <c r="L33" s="40">
        <f t="shared" si="6"/>
        <v>16728.672999999995</v>
      </c>
      <c r="M33" s="40">
        <f t="shared" si="6"/>
        <v>-84652.927000000011</v>
      </c>
      <c r="N33" s="40">
        <f t="shared" si="6"/>
        <v>-28582.490499999985</v>
      </c>
      <c r="O33" s="40">
        <f t="shared" si="6"/>
        <v>-76537.75499999999</v>
      </c>
    </row>
    <row r="34" spans="1:15" x14ac:dyDescent="0.3">
      <c r="A34" s="17"/>
      <c r="B34" s="20" t="s">
        <v>106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</row>
    <row r="35" spans="1:15" x14ac:dyDescent="0.3">
      <c r="A35" s="17"/>
      <c r="B35" s="20" t="s">
        <v>86</v>
      </c>
      <c r="C35" s="79"/>
      <c r="D35" s="19">
        <v>2000</v>
      </c>
      <c r="E35" s="19">
        <v>2000</v>
      </c>
      <c r="F35" s="19">
        <v>2000</v>
      </c>
      <c r="G35" s="19">
        <v>2000</v>
      </c>
      <c r="H35" s="19">
        <v>2000</v>
      </c>
      <c r="I35" s="19">
        <v>2000</v>
      </c>
      <c r="J35" s="19">
        <v>2000</v>
      </c>
      <c r="K35" s="19">
        <v>2000</v>
      </c>
      <c r="L35" s="19">
        <v>2000</v>
      </c>
      <c r="M35" s="19">
        <v>2000</v>
      </c>
      <c r="N35" s="19">
        <v>2000</v>
      </c>
      <c r="O35" s="19">
        <v>2000</v>
      </c>
    </row>
    <row r="36" spans="1:15" x14ac:dyDescent="0.3">
      <c r="A36" s="17"/>
      <c r="B36" s="20" t="s">
        <v>84</v>
      </c>
      <c r="C36" s="19"/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</row>
    <row r="37" spans="1:15" x14ac:dyDescent="0.3">
      <c r="A37" s="17"/>
      <c r="B37" s="20" t="s">
        <v>123</v>
      </c>
      <c r="C37" s="19">
        <v>480000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</row>
    <row r="38" spans="1:15" x14ac:dyDescent="0.3">
      <c r="A38" s="17"/>
      <c r="B38" s="20" t="s">
        <v>100</v>
      </c>
      <c r="C38" s="19">
        <v>10400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</row>
    <row r="39" spans="1:15" x14ac:dyDescent="0.3">
      <c r="A39" s="17"/>
      <c r="B39" s="20" t="s">
        <v>101</v>
      </c>
      <c r="C39" s="19">
        <v>0</v>
      </c>
      <c r="D39" s="19">
        <v>3152</v>
      </c>
      <c r="E39" s="19">
        <v>3152</v>
      </c>
      <c r="F39" s="19">
        <v>3152</v>
      </c>
      <c r="G39" s="19">
        <v>3152</v>
      </c>
      <c r="H39" s="19">
        <v>3152</v>
      </c>
      <c r="I39" s="19">
        <v>3152</v>
      </c>
      <c r="J39" s="19">
        <v>3152</v>
      </c>
      <c r="K39" s="19">
        <v>3152</v>
      </c>
      <c r="L39" s="19">
        <v>3152</v>
      </c>
      <c r="M39" s="19">
        <v>3152</v>
      </c>
      <c r="N39" s="19">
        <v>3152</v>
      </c>
      <c r="O39" s="19">
        <v>3152</v>
      </c>
    </row>
    <row r="40" spans="1:15" x14ac:dyDescent="0.3">
      <c r="A40" s="17"/>
      <c r="B40" s="23" t="s">
        <v>102</v>
      </c>
      <c r="C40" s="41">
        <f>C33-C34-C35+C36+C37-C38-C39</f>
        <v>-59940</v>
      </c>
      <c r="D40" s="41">
        <f t="shared" ref="D40:O40" si="7">D33-D34-D35+D36+D37-D38-D39</f>
        <v>-3667.8500000000058</v>
      </c>
      <c r="E40" s="41">
        <f t="shared" si="7"/>
        <v>10899.800000000003</v>
      </c>
      <c r="F40" s="41">
        <f t="shared" si="7"/>
        <v>101566.735</v>
      </c>
      <c r="G40" s="41">
        <f t="shared" si="7"/>
        <v>-81785.55</v>
      </c>
      <c r="H40" s="41">
        <f t="shared" si="7"/>
        <v>-76929.867499999993</v>
      </c>
      <c r="I40" s="41">
        <f t="shared" si="7"/>
        <v>6637.0349999999889</v>
      </c>
      <c r="J40" s="41">
        <f t="shared" si="7"/>
        <v>-50331.6685</v>
      </c>
      <c r="K40" s="41">
        <f t="shared" si="7"/>
        <v>-38358.155000000013</v>
      </c>
      <c r="L40" s="41">
        <f t="shared" si="7"/>
        <v>11576.672999999995</v>
      </c>
      <c r="M40" s="41">
        <f t="shared" si="7"/>
        <v>-89804.927000000011</v>
      </c>
      <c r="N40" s="41">
        <f t="shared" si="7"/>
        <v>-33734.490499999985</v>
      </c>
      <c r="O40" s="41">
        <f t="shared" si="7"/>
        <v>-81689.75499999999</v>
      </c>
    </row>
    <row r="41" spans="1:15" x14ac:dyDescent="0.3">
      <c r="A41" s="17"/>
      <c r="B41" s="1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3">
      <c r="A42" s="17"/>
      <c r="B42" s="25" t="s">
        <v>79</v>
      </c>
      <c r="C42" s="29">
        <f t="shared" ref="C42:O42" si="8">C4+C40</f>
        <v>420060</v>
      </c>
      <c r="D42" s="29">
        <f t="shared" si="8"/>
        <v>416392.15</v>
      </c>
      <c r="E42" s="29">
        <f t="shared" si="8"/>
        <v>427291.95</v>
      </c>
      <c r="F42" s="29">
        <f t="shared" si="8"/>
        <v>528858.68500000006</v>
      </c>
      <c r="G42" s="29">
        <f t="shared" si="8"/>
        <v>447073.13500000007</v>
      </c>
      <c r="H42" s="29">
        <f t="shared" si="8"/>
        <v>370143.26750000007</v>
      </c>
      <c r="I42" s="29">
        <f t="shared" si="8"/>
        <v>376780.30250000005</v>
      </c>
      <c r="J42" s="29">
        <f t="shared" si="8"/>
        <v>326448.63400000008</v>
      </c>
      <c r="K42" s="29">
        <f t="shared" si="8"/>
        <v>288090.47900000005</v>
      </c>
      <c r="L42" s="29">
        <f t="shared" si="8"/>
        <v>299667.15200000006</v>
      </c>
      <c r="M42" s="29">
        <f t="shared" si="8"/>
        <v>209862.22500000003</v>
      </c>
      <c r="N42" s="29">
        <f t="shared" si="8"/>
        <v>176127.73450000005</v>
      </c>
      <c r="O42" s="29">
        <f t="shared" si="8"/>
        <v>94437.979500000059</v>
      </c>
    </row>
    <row r="44" spans="1:15" x14ac:dyDescent="0.3">
      <c r="B44" s="72" t="s">
        <v>124</v>
      </c>
      <c r="C44" s="73" t="e">
        <f>C33/C6</f>
        <v>#DIV/0!</v>
      </c>
      <c r="D44" s="73">
        <f t="shared" ref="D44:O44" si="9">D33/D6</f>
        <v>2.1202142857142774E-3</v>
      </c>
      <c r="E44" s="73">
        <f t="shared" si="9"/>
        <v>2.2450069930069934E-2</v>
      </c>
      <c r="F44" s="73">
        <f t="shared" si="9"/>
        <v>0.15137409219858156</v>
      </c>
      <c r="G44" s="73">
        <f t="shared" si="9"/>
        <v>-0.10778277074542898</v>
      </c>
      <c r="H44" s="73">
        <f t="shared" si="9"/>
        <v>-0.10210222972972972</v>
      </c>
      <c r="I44" s="73">
        <f t="shared" si="9"/>
        <v>1.7036177745664724E-2</v>
      </c>
      <c r="J44" s="73">
        <f t="shared" si="9"/>
        <v>-6.1136222598105548E-2</v>
      </c>
      <c r="K44" s="73">
        <f t="shared" si="9"/>
        <v>-4.421591877496673E-2</v>
      </c>
      <c r="L44" s="73">
        <f t="shared" si="9"/>
        <v>2.3966580229226354E-2</v>
      </c>
      <c r="M44" s="73">
        <f t="shared" si="9"/>
        <v>-0.12924110992366414</v>
      </c>
      <c r="N44" s="73">
        <f t="shared" si="9"/>
        <v>-4.0890544349070079E-2</v>
      </c>
      <c r="O44" s="73">
        <f t="shared" si="9"/>
        <v>-0.10825707920792078</v>
      </c>
    </row>
    <row r="45" spans="1:15" x14ac:dyDescent="0.3">
      <c r="B45" s="72" t="s">
        <v>168</v>
      </c>
      <c r="C45" s="74" t="e">
        <f>C33/C39</f>
        <v>#DIV/0!</v>
      </c>
      <c r="D45" s="75">
        <f t="shared" ref="D45:O45" si="10">D33/D39</f>
        <v>0.4708597715736022</v>
      </c>
      <c r="E45" s="75">
        <f t="shared" si="10"/>
        <v>5.0925761421319802</v>
      </c>
      <c r="F45" s="75">
        <f t="shared" si="10"/>
        <v>33.857466687817258</v>
      </c>
      <c r="G45" s="75">
        <f t="shared" si="10"/>
        <v>-24.312674492385788</v>
      </c>
      <c r="H45" s="75">
        <f t="shared" si="10"/>
        <v>-22.772166085025379</v>
      </c>
      <c r="I45" s="75">
        <f t="shared" si="10"/>
        <v>3.7401760786801996</v>
      </c>
      <c r="J45" s="75">
        <f t="shared" si="10"/>
        <v>-14.333651173857868</v>
      </c>
      <c r="K45" s="75">
        <f t="shared" si="10"/>
        <v>-10.534947652284268</v>
      </c>
      <c r="L45" s="75">
        <f t="shared" si="10"/>
        <v>5.307320114213196</v>
      </c>
      <c r="M45" s="75">
        <f t="shared" si="10"/>
        <v>-26.856893083756347</v>
      </c>
      <c r="N45" s="75">
        <f t="shared" si="10"/>
        <v>-9.0680490164974579</v>
      </c>
      <c r="O45" s="75">
        <f t="shared" si="10"/>
        <v>-24.28228267766497</v>
      </c>
    </row>
  </sheetData>
  <mergeCells count="2">
    <mergeCell ref="A1:O1"/>
    <mergeCell ref="A2:N2"/>
  </mergeCells>
  <pageMargins left="0.7" right="0.7" top="0.75" bottom="0.75" header="0.3" footer="0.3"/>
  <pageSetup scale="52" orientation="landscape" horizontalDpi="4294967293" verticalDpi="4294967293" r:id="rId1"/>
  <ignoredErrors>
    <ignoredError sqref="D42" evalError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N45"/>
  <sheetViews>
    <sheetView topLeftCell="A2" zoomScaleNormal="100" zoomScalePageLayoutView="91" workbookViewId="0">
      <selection activeCell="A2" sqref="A2:XFD2"/>
    </sheetView>
  </sheetViews>
  <sheetFormatPr defaultColWidth="8.88671875" defaultRowHeight="15.6" x14ac:dyDescent="0.3"/>
  <cols>
    <col min="1" max="1" width="2.109375" customWidth="1"/>
    <col min="2" max="2" width="44.6640625" customWidth="1"/>
    <col min="3" max="14" width="13.109375" customWidth="1"/>
  </cols>
  <sheetData>
    <row r="1" spans="1:14" ht="23.4" hidden="1" x14ac:dyDescent="0.45">
      <c r="A1" s="138">
        <f>Transactions!A1:H1</f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ht="23.4" x14ac:dyDescent="0.45">
      <c r="A2" s="139" t="s">
        <v>182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x14ac:dyDescent="0.3">
      <c r="A3" s="17"/>
      <c r="B3" s="17"/>
      <c r="C3" s="18" t="s">
        <v>61</v>
      </c>
      <c r="D3" s="18" t="s">
        <v>62</v>
      </c>
      <c r="E3" s="18" t="s">
        <v>63</v>
      </c>
      <c r="F3" s="18" t="s">
        <v>64</v>
      </c>
      <c r="G3" s="18" t="s">
        <v>65</v>
      </c>
      <c r="H3" s="18" t="s">
        <v>66</v>
      </c>
      <c r="I3" s="18" t="s">
        <v>67</v>
      </c>
      <c r="J3" s="18" t="s">
        <v>68</v>
      </c>
      <c r="K3" s="18" t="s">
        <v>69</v>
      </c>
      <c r="L3" s="18" t="s">
        <v>70</v>
      </c>
      <c r="M3" s="18" t="s">
        <v>71</v>
      </c>
      <c r="N3" s="18" t="s">
        <v>72</v>
      </c>
    </row>
    <row r="4" spans="1:14" x14ac:dyDescent="0.3">
      <c r="A4" s="17"/>
      <c r="B4" s="25" t="s">
        <v>78</v>
      </c>
      <c r="C4" s="26">
        <f>'Forecast Year 1'!O42</f>
        <v>94437.979500000059</v>
      </c>
      <c r="D4" s="26">
        <f>C42</f>
        <v>144495.97950000007</v>
      </c>
      <c r="E4" s="26">
        <f t="shared" ref="E4:N4" si="0">D42</f>
        <v>147698.97950000007</v>
      </c>
      <c r="F4" s="26">
        <f t="shared" si="0"/>
        <v>145980.97950000007</v>
      </c>
      <c r="G4" s="26">
        <f t="shared" si="0"/>
        <v>157818.47950000007</v>
      </c>
      <c r="H4" s="26">
        <f t="shared" si="0"/>
        <v>166342.97950000007</v>
      </c>
      <c r="I4" s="26">
        <f t="shared" si="0"/>
        <v>163040.97950000007</v>
      </c>
      <c r="J4" s="26">
        <f t="shared" si="0"/>
        <v>149217.75950000007</v>
      </c>
      <c r="K4" s="26">
        <f t="shared" si="0"/>
        <v>134713.36700000009</v>
      </c>
      <c r="L4" s="26">
        <f t="shared" si="0"/>
        <v>131126.85100000008</v>
      </c>
      <c r="M4" s="26">
        <f t="shared" si="0"/>
        <v>130610.62550000008</v>
      </c>
      <c r="N4" s="26">
        <f t="shared" si="0"/>
        <v>142902.96000000008</v>
      </c>
    </row>
    <row r="5" spans="1:14" x14ac:dyDescent="0.3">
      <c r="A5" s="17"/>
      <c r="B5" s="1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3">
      <c r="A6" s="17"/>
      <c r="B6" s="30" t="s">
        <v>74</v>
      </c>
      <c r="C6" s="24">
        <f>645000*120%</f>
        <v>774000</v>
      </c>
      <c r="D6" s="24">
        <v>748000</v>
      </c>
      <c r="E6" s="24">
        <v>745000</v>
      </c>
      <c r="F6" s="24">
        <v>754000</v>
      </c>
      <c r="G6" s="24">
        <v>754000</v>
      </c>
      <c r="H6" s="24">
        <v>745000</v>
      </c>
      <c r="I6" s="24">
        <v>536000</v>
      </c>
      <c r="J6" s="24">
        <v>536000</v>
      </c>
      <c r="K6" s="24">
        <v>545000</v>
      </c>
      <c r="L6" s="24">
        <v>645000</v>
      </c>
      <c r="M6" s="24">
        <f>545000*120%</f>
        <v>654000</v>
      </c>
      <c r="N6" s="24">
        <f>545000*120%</f>
        <v>654000</v>
      </c>
    </row>
    <row r="7" spans="1:14" x14ac:dyDescent="0.3">
      <c r="A7" s="17"/>
      <c r="B7" s="30" t="s">
        <v>73</v>
      </c>
      <c r="C7" s="24">
        <v>654000</v>
      </c>
      <c r="D7" s="24">
        <v>670000</v>
      </c>
      <c r="E7" s="24">
        <v>670000</v>
      </c>
      <c r="F7" s="24">
        <v>664000</v>
      </c>
      <c r="G7" s="24">
        <v>664000</v>
      </c>
      <c r="H7" s="24">
        <v>670000</v>
      </c>
      <c r="I7" s="24">
        <v>476000</v>
      </c>
      <c r="J7" s="24">
        <v>476000</v>
      </c>
      <c r="K7" s="24">
        <f>[1]!StartingInventory[[#Totals],[Total]]</f>
        <v>470000</v>
      </c>
      <c r="L7" s="24">
        <v>570000</v>
      </c>
      <c r="M7" s="24">
        <f>[1]!StartingInventory[[#Totals],[Total]]*120%</f>
        <v>564000</v>
      </c>
      <c r="N7" s="24">
        <f>[1]!StartingInventory[[#Totals],[Total]]*120%</f>
        <v>564000</v>
      </c>
    </row>
    <row r="8" spans="1:14" x14ac:dyDescent="0.3">
      <c r="A8" s="17"/>
      <c r="B8" s="23" t="s">
        <v>75</v>
      </c>
      <c r="C8" s="31">
        <f t="shared" ref="C8:N8" si="1">C6-C7</f>
        <v>120000</v>
      </c>
      <c r="D8" s="31">
        <f t="shared" si="1"/>
        <v>78000</v>
      </c>
      <c r="E8" s="31">
        <f t="shared" si="1"/>
        <v>75000</v>
      </c>
      <c r="F8" s="31">
        <f t="shared" si="1"/>
        <v>90000</v>
      </c>
      <c r="G8" s="31">
        <f t="shared" si="1"/>
        <v>90000</v>
      </c>
      <c r="H8" s="31">
        <f t="shared" si="1"/>
        <v>75000</v>
      </c>
      <c r="I8" s="31">
        <f t="shared" si="1"/>
        <v>60000</v>
      </c>
      <c r="J8" s="31">
        <f t="shared" si="1"/>
        <v>60000</v>
      </c>
      <c r="K8" s="31">
        <f t="shared" si="1"/>
        <v>75000</v>
      </c>
      <c r="L8" s="31">
        <f t="shared" si="1"/>
        <v>75000</v>
      </c>
      <c r="M8" s="31">
        <f t="shared" si="1"/>
        <v>90000</v>
      </c>
      <c r="N8" s="31">
        <f t="shared" si="1"/>
        <v>90000</v>
      </c>
    </row>
    <row r="9" spans="1:14" x14ac:dyDescent="0.3">
      <c r="A9" s="17"/>
      <c r="B9" s="1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3">
      <c r="A10" s="17"/>
      <c r="B10" s="20" t="s">
        <v>4</v>
      </c>
      <c r="C10" s="19">
        <v>575</v>
      </c>
      <c r="D10" s="19">
        <v>575</v>
      </c>
      <c r="E10" s="19">
        <v>575</v>
      </c>
      <c r="F10" s="19">
        <v>575</v>
      </c>
      <c r="G10" s="19">
        <v>575</v>
      </c>
      <c r="H10" s="19">
        <v>575</v>
      </c>
      <c r="I10" s="19">
        <v>575</v>
      </c>
      <c r="J10" s="19">
        <v>575</v>
      </c>
      <c r="K10" s="19">
        <v>575</v>
      </c>
      <c r="L10" s="19">
        <v>575</v>
      </c>
      <c r="M10" s="19">
        <v>575</v>
      </c>
      <c r="N10" s="19">
        <v>575</v>
      </c>
    </row>
    <row r="11" spans="1:14" x14ac:dyDescent="0.3">
      <c r="A11" s="17"/>
      <c r="B11" s="20" t="s">
        <v>17</v>
      </c>
      <c r="C11" s="19">
        <v>250</v>
      </c>
      <c r="D11" s="19">
        <v>250</v>
      </c>
      <c r="E11" s="19">
        <v>250</v>
      </c>
      <c r="F11" s="19">
        <v>250</v>
      </c>
      <c r="G11" s="19">
        <v>250</v>
      </c>
      <c r="H11" s="19">
        <v>250</v>
      </c>
      <c r="I11" s="19">
        <v>250</v>
      </c>
      <c r="J11" s="19">
        <v>250</v>
      </c>
      <c r="K11" s="19">
        <v>250</v>
      </c>
      <c r="L11" s="19">
        <v>250</v>
      </c>
      <c r="M11" s="19">
        <v>250</v>
      </c>
      <c r="N11" s="19">
        <v>250</v>
      </c>
    </row>
    <row r="12" spans="1:14" x14ac:dyDescent="0.3">
      <c r="A12" s="17"/>
      <c r="B12" s="20" t="s">
        <v>18</v>
      </c>
      <c r="C12" s="19">
        <v>30000</v>
      </c>
      <c r="D12" s="19">
        <v>30100</v>
      </c>
      <c r="E12" s="19">
        <v>32151</v>
      </c>
      <c r="F12" s="19">
        <v>32100</v>
      </c>
      <c r="G12" s="19">
        <v>33050</v>
      </c>
      <c r="H12" s="19">
        <v>33000</v>
      </c>
      <c r="I12" s="19">
        <v>29000</v>
      </c>
      <c r="J12" s="19">
        <v>29000</v>
      </c>
      <c r="K12" s="19">
        <v>29500</v>
      </c>
      <c r="L12" s="19">
        <v>28544</v>
      </c>
      <c r="M12" s="19">
        <v>29699</v>
      </c>
      <c r="N12" s="19">
        <v>28544</v>
      </c>
    </row>
    <row r="13" spans="1:14" x14ac:dyDescent="0.3">
      <c r="A13" s="17"/>
      <c r="B13" s="20" t="s">
        <v>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14" x14ac:dyDescent="0.3">
      <c r="A14" s="17"/>
      <c r="B14" s="20" t="s">
        <v>21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14" x14ac:dyDescent="0.3">
      <c r="A15" s="17"/>
      <c r="B15" s="20" t="s">
        <v>22</v>
      </c>
      <c r="C15" s="19">
        <v>1960</v>
      </c>
      <c r="D15" s="19">
        <v>1960</v>
      </c>
      <c r="E15" s="19">
        <v>1960</v>
      </c>
      <c r="F15" s="19">
        <v>1960</v>
      </c>
      <c r="G15" s="19">
        <v>1960</v>
      </c>
      <c r="H15" s="19">
        <v>1960</v>
      </c>
      <c r="I15" s="19">
        <v>1960</v>
      </c>
      <c r="J15" s="19">
        <v>1960</v>
      </c>
      <c r="K15" s="19">
        <v>1960</v>
      </c>
      <c r="L15" s="19">
        <v>1960</v>
      </c>
      <c r="M15" s="19">
        <v>1960</v>
      </c>
      <c r="N15" s="19">
        <v>1960</v>
      </c>
    </row>
    <row r="16" spans="1:14" x14ac:dyDescent="0.3">
      <c r="A16" s="17"/>
      <c r="B16" s="20" t="s">
        <v>25</v>
      </c>
      <c r="C16" s="19">
        <v>340</v>
      </c>
      <c r="D16" s="19">
        <v>340</v>
      </c>
      <c r="E16" s="19">
        <v>340</v>
      </c>
      <c r="F16" s="19">
        <v>340</v>
      </c>
      <c r="G16" s="19">
        <v>340</v>
      </c>
      <c r="H16" s="19">
        <v>340</v>
      </c>
      <c r="I16" s="19">
        <v>340</v>
      </c>
      <c r="J16" s="19">
        <v>340</v>
      </c>
      <c r="K16" s="19">
        <v>340</v>
      </c>
      <c r="L16" s="19">
        <v>340</v>
      </c>
      <c r="M16" s="19">
        <v>340</v>
      </c>
      <c r="N16" s="19">
        <v>340</v>
      </c>
    </row>
    <row r="17" spans="1:14" x14ac:dyDescent="0.3">
      <c r="A17" s="17"/>
      <c r="B17" s="20" t="s">
        <v>26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x14ac:dyDescent="0.3">
      <c r="A18" s="17"/>
      <c r="B18" s="21" t="s">
        <v>96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x14ac:dyDescent="0.3">
      <c r="A19" s="17"/>
      <c r="B19" s="21" t="s">
        <v>97</v>
      </c>
      <c r="C19" s="19">
        <v>800</v>
      </c>
      <c r="D19" s="19">
        <v>1000</v>
      </c>
      <c r="E19" s="19">
        <v>1000</v>
      </c>
      <c r="F19" s="19">
        <v>1000</v>
      </c>
      <c r="G19" s="19">
        <v>1000</v>
      </c>
      <c r="H19" s="19">
        <v>1000</v>
      </c>
      <c r="I19" s="19">
        <v>1000</v>
      </c>
      <c r="J19" s="19">
        <v>1000</v>
      </c>
      <c r="K19" s="19">
        <v>1000</v>
      </c>
      <c r="L19" s="19">
        <v>1000</v>
      </c>
      <c r="M19" s="19">
        <v>1000</v>
      </c>
      <c r="N19" s="19">
        <v>1000</v>
      </c>
    </row>
    <row r="20" spans="1:14" x14ac:dyDescent="0.3">
      <c r="A20" s="17"/>
      <c r="B20" s="20" t="s">
        <v>31</v>
      </c>
      <c r="C20" s="19">
        <v>0</v>
      </c>
      <c r="D20" s="19">
        <v>5000</v>
      </c>
      <c r="E20" s="19">
        <v>5000</v>
      </c>
      <c r="F20" s="19">
        <v>5000</v>
      </c>
      <c r="G20" s="19">
        <v>5000</v>
      </c>
      <c r="H20" s="19">
        <v>5000</v>
      </c>
      <c r="I20" s="19">
        <v>5000</v>
      </c>
      <c r="J20" s="19">
        <v>5000</v>
      </c>
      <c r="K20" s="19">
        <v>5000</v>
      </c>
      <c r="L20" s="19">
        <v>5000</v>
      </c>
      <c r="M20" s="19">
        <v>5000</v>
      </c>
      <c r="N20" s="19">
        <v>5000</v>
      </c>
    </row>
    <row r="21" spans="1:14" x14ac:dyDescent="0.3">
      <c r="A21" s="17"/>
      <c r="B21" s="20" t="s">
        <v>3</v>
      </c>
      <c r="C21" s="19">
        <v>250</v>
      </c>
      <c r="D21" s="19">
        <v>200</v>
      </c>
      <c r="E21" s="19">
        <v>200</v>
      </c>
      <c r="F21" s="19">
        <v>200</v>
      </c>
      <c r="G21" s="19">
        <v>200</v>
      </c>
      <c r="H21" s="19">
        <v>200</v>
      </c>
      <c r="I21" s="19">
        <v>200</v>
      </c>
      <c r="J21" s="19">
        <v>200</v>
      </c>
      <c r="K21" s="19">
        <v>200</v>
      </c>
      <c r="L21" s="19">
        <v>200</v>
      </c>
      <c r="M21" s="19">
        <v>200</v>
      </c>
      <c r="N21" s="19">
        <v>200</v>
      </c>
    </row>
    <row r="22" spans="1:14" x14ac:dyDescent="0.3">
      <c r="A22" s="17"/>
      <c r="B22" s="20" t="s">
        <v>98</v>
      </c>
      <c r="C22" s="19">
        <v>290</v>
      </c>
      <c r="D22" s="19">
        <v>290</v>
      </c>
      <c r="E22" s="19">
        <v>290</v>
      </c>
      <c r="F22" s="19">
        <v>290</v>
      </c>
      <c r="G22" s="19">
        <v>290</v>
      </c>
      <c r="H22" s="19">
        <v>290</v>
      </c>
      <c r="I22" s="19">
        <v>290</v>
      </c>
      <c r="J22" s="19">
        <v>290</v>
      </c>
      <c r="K22" s="19">
        <v>290</v>
      </c>
      <c r="L22" s="19">
        <v>290</v>
      </c>
      <c r="M22" s="19">
        <v>290</v>
      </c>
      <c r="N22" s="19">
        <v>290</v>
      </c>
    </row>
    <row r="23" spans="1:14" x14ac:dyDescent="0.3">
      <c r="A23" s="17"/>
      <c r="B23" s="21" t="s">
        <v>32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x14ac:dyDescent="0.3">
      <c r="A24" s="17"/>
      <c r="B24" s="21" t="s">
        <v>33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3">
      <c r="A25" s="17"/>
      <c r="B25" s="20" t="s">
        <v>34</v>
      </c>
      <c r="C25" s="19">
        <v>25000</v>
      </c>
      <c r="D25" s="19">
        <v>25500</v>
      </c>
      <c r="E25" s="19">
        <v>25000</v>
      </c>
      <c r="F25" s="19">
        <v>27000</v>
      </c>
      <c r="G25" s="19">
        <v>29000</v>
      </c>
      <c r="H25" s="19">
        <v>26000</v>
      </c>
      <c r="I25" s="19">
        <v>25987</v>
      </c>
      <c r="J25" s="19">
        <v>26545</v>
      </c>
      <c r="K25" s="19">
        <v>29784</v>
      </c>
      <c r="L25" s="19">
        <v>27987</v>
      </c>
      <c r="M25" s="19">
        <v>28547</v>
      </c>
      <c r="N25" s="19">
        <v>25274</v>
      </c>
    </row>
    <row r="26" spans="1:14" x14ac:dyDescent="0.3">
      <c r="A26" s="17"/>
      <c r="B26" s="20" t="s">
        <v>99</v>
      </c>
      <c r="C26" s="82">
        <v>0</v>
      </c>
      <c r="D26" s="82">
        <v>2900</v>
      </c>
      <c r="E26" s="82">
        <v>2800</v>
      </c>
      <c r="F26" s="82">
        <v>2610</v>
      </c>
      <c r="G26" s="82">
        <v>2700</v>
      </c>
      <c r="H26" s="82">
        <v>2695</v>
      </c>
      <c r="I26" s="82">
        <v>2410</v>
      </c>
      <c r="J26" s="82">
        <v>2569</v>
      </c>
      <c r="K26" s="82">
        <v>2470</v>
      </c>
      <c r="L26" s="82">
        <v>2398</v>
      </c>
      <c r="M26" s="82">
        <v>2798</v>
      </c>
      <c r="N26" s="82">
        <v>2597</v>
      </c>
    </row>
    <row r="27" spans="1:14" x14ac:dyDescent="0.3">
      <c r="A27" s="17"/>
      <c r="B27" s="20" t="s">
        <v>8</v>
      </c>
      <c r="C27" s="19">
        <v>3825</v>
      </c>
      <c r="D27" s="19">
        <v>2000</v>
      </c>
      <c r="E27" s="19">
        <v>2500</v>
      </c>
      <c r="F27" s="19">
        <f t="shared" ref="F27:N27" si="2">F25*0.0765</f>
        <v>2065.5</v>
      </c>
      <c r="G27" s="19">
        <f t="shared" si="2"/>
        <v>2218.5</v>
      </c>
      <c r="H27" s="19">
        <v>2280</v>
      </c>
      <c r="I27" s="19">
        <v>2100</v>
      </c>
      <c r="J27" s="19">
        <f t="shared" si="2"/>
        <v>2030.6924999999999</v>
      </c>
      <c r="K27" s="19">
        <f t="shared" si="2"/>
        <v>2278.4760000000001</v>
      </c>
      <c r="L27" s="19">
        <f t="shared" si="2"/>
        <v>2141.0054999999998</v>
      </c>
      <c r="M27" s="19">
        <f t="shared" si="2"/>
        <v>2183.8454999999999</v>
      </c>
      <c r="N27" s="19">
        <f t="shared" si="2"/>
        <v>1933.461</v>
      </c>
    </row>
    <row r="28" spans="1:14" x14ac:dyDescent="0.3">
      <c r="A28" s="17"/>
      <c r="B28" s="20" t="s">
        <v>105</v>
      </c>
      <c r="C28" s="19">
        <f>C25*0.006</f>
        <v>150</v>
      </c>
      <c r="D28" s="19">
        <f t="shared" ref="D28:N28" si="3">D25*0.006</f>
        <v>153</v>
      </c>
      <c r="E28" s="19">
        <f t="shared" si="3"/>
        <v>150</v>
      </c>
      <c r="F28" s="19">
        <f t="shared" si="3"/>
        <v>162</v>
      </c>
      <c r="G28" s="19">
        <f t="shared" si="3"/>
        <v>174</v>
      </c>
      <c r="H28" s="19">
        <f t="shared" si="3"/>
        <v>156</v>
      </c>
      <c r="I28" s="19">
        <f t="shared" si="3"/>
        <v>155.922</v>
      </c>
      <c r="J28" s="19">
        <f t="shared" si="3"/>
        <v>159.27000000000001</v>
      </c>
      <c r="K28" s="19">
        <f t="shared" si="3"/>
        <v>178.70400000000001</v>
      </c>
      <c r="L28" s="19">
        <f t="shared" si="3"/>
        <v>167.922</v>
      </c>
      <c r="M28" s="19">
        <f t="shared" si="3"/>
        <v>171.28200000000001</v>
      </c>
      <c r="N28" s="19">
        <f t="shared" si="3"/>
        <v>151.64400000000001</v>
      </c>
    </row>
    <row r="29" spans="1:14" x14ac:dyDescent="0.3">
      <c r="A29" s="17"/>
      <c r="B29" s="20" t="s">
        <v>103</v>
      </c>
      <c r="C29" s="19">
        <f>C25*0.054</f>
        <v>1350</v>
      </c>
      <c r="D29" s="19">
        <f t="shared" ref="D29:N29" si="4">D25*0.054</f>
        <v>1377</v>
      </c>
      <c r="E29" s="19">
        <f t="shared" si="4"/>
        <v>1350</v>
      </c>
      <c r="F29" s="19">
        <f t="shared" si="4"/>
        <v>1458</v>
      </c>
      <c r="G29" s="19">
        <f t="shared" si="4"/>
        <v>1566</v>
      </c>
      <c r="H29" s="19">
        <f t="shared" si="4"/>
        <v>1404</v>
      </c>
      <c r="I29" s="19">
        <f t="shared" si="4"/>
        <v>1403.298</v>
      </c>
      <c r="J29" s="19">
        <f t="shared" si="4"/>
        <v>1433.43</v>
      </c>
      <c r="K29" s="19">
        <f t="shared" si="4"/>
        <v>1608.336</v>
      </c>
      <c r="L29" s="19">
        <f t="shared" si="4"/>
        <v>1511.298</v>
      </c>
      <c r="M29" s="19">
        <f t="shared" si="4"/>
        <v>1541.538</v>
      </c>
      <c r="N29" s="19">
        <f t="shared" si="4"/>
        <v>1364.796</v>
      </c>
    </row>
    <row r="30" spans="1:14" x14ac:dyDescent="0.3">
      <c r="A30" s="17"/>
      <c r="B30" s="20" t="s">
        <v>104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x14ac:dyDescent="0.3">
      <c r="A31" s="17"/>
      <c r="B31" s="27" t="s">
        <v>76</v>
      </c>
      <c r="C31" s="39">
        <f t="shared" ref="C31:N31" si="5">SUM(C10:C30)</f>
        <v>64790</v>
      </c>
      <c r="D31" s="39">
        <f t="shared" si="5"/>
        <v>71645</v>
      </c>
      <c r="E31" s="39">
        <f t="shared" si="5"/>
        <v>73566</v>
      </c>
      <c r="F31" s="39">
        <f t="shared" si="5"/>
        <v>75010.5</v>
      </c>
      <c r="G31" s="39">
        <f t="shared" si="5"/>
        <v>78323.5</v>
      </c>
      <c r="H31" s="39">
        <f t="shared" si="5"/>
        <v>75150</v>
      </c>
      <c r="I31" s="39">
        <f t="shared" si="5"/>
        <v>70671.22</v>
      </c>
      <c r="J31" s="39">
        <f t="shared" si="5"/>
        <v>71352.392500000002</v>
      </c>
      <c r="K31" s="39">
        <f t="shared" si="5"/>
        <v>75434.515999999989</v>
      </c>
      <c r="L31" s="39">
        <f t="shared" si="5"/>
        <v>72364.2255</v>
      </c>
      <c r="M31" s="39">
        <f t="shared" si="5"/>
        <v>74555.665500000003</v>
      </c>
      <c r="N31" s="39">
        <f t="shared" si="5"/>
        <v>69479.900999999998</v>
      </c>
    </row>
    <row r="32" spans="1:14" x14ac:dyDescent="0.3">
      <c r="A32" s="17"/>
      <c r="B32" s="17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x14ac:dyDescent="0.3">
      <c r="A33" s="17"/>
      <c r="B33" s="28" t="s">
        <v>39</v>
      </c>
      <c r="C33" s="40">
        <f t="shared" ref="C33:N33" si="6">C8-C31</f>
        <v>55210</v>
      </c>
      <c r="D33" s="40">
        <f t="shared" si="6"/>
        <v>6355</v>
      </c>
      <c r="E33" s="40">
        <f t="shared" si="6"/>
        <v>1434</v>
      </c>
      <c r="F33" s="40">
        <f t="shared" si="6"/>
        <v>14989.5</v>
      </c>
      <c r="G33" s="40">
        <f t="shared" si="6"/>
        <v>11676.5</v>
      </c>
      <c r="H33" s="40">
        <f t="shared" si="6"/>
        <v>-150</v>
      </c>
      <c r="I33" s="40">
        <f t="shared" si="6"/>
        <v>-10671.220000000001</v>
      </c>
      <c r="J33" s="40">
        <f t="shared" si="6"/>
        <v>-11352.392500000002</v>
      </c>
      <c r="K33" s="40">
        <f t="shared" si="6"/>
        <v>-434.51599999998871</v>
      </c>
      <c r="L33" s="40">
        <f t="shared" si="6"/>
        <v>2635.7744999999995</v>
      </c>
      <c r="M33" s="40">
        <f t="shared" si="6"/>
        <v>15444.334499999997</v>
      </c>
      <c r="N33" s="40">
        <f t="shared" si="6"/>
        <v>20520.099000000002</v>
      </c>
    </row>
    <row r="34" spans="1:14" x14ac:dyDescent="0.3">
      <c r="A34" s="17"/>
      <c r="B34" s="20" t="s">
        <v>106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3">
      <c r="A35" s="17"/>
      <c r="B35" s="20" t="s">
        <v>86</v>
      </c>
      <c r="C35" s="19">
        <v>2000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x14ac:dyDescent="0.3">
      <c r="A36" s="17"/>
      <c r="B36" s="20" t="s">
        <v>84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x14ac:dyDescent="0.3">
      <c r="A37" s="17"/>
      <c r="B37" s="20" t="s">
        <v>123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x14ac:dyDescent="0.3">
      <c r="A38" s="17"/>
      <c r="B38" s="20" t="s">
        <v>100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x14ac:dyDescent="0.3">
      <c r="A39" s="17"/>
      <c r="B39" s="20" t="s">
        <v>101</v>
      </c>
      <c r="C39" s="19">
        <v>3152</v>
      </c>
      <c r="D39" s="19">
        <v>3152</v>
      </c>
      <c r="E39" s="19">
        <v>3152</v>
      </c>
      <c r="F39" s="19">
        <v>3152</v>
      </c>
      <c r="G39" s="19">
        <v>3152</v>
      </c>
      <c r="H39" s="19">
        <v>3152</v>
      </c>
      <c r="I39" s="19">
        <v>3152</v>
      </c>
      <c r="J39" s="19">
        <v>3152</v>
      </c>
      <c r="K39" s="19">
        <v>3152</v>
      </c>
      <c r="L39" s="19">
        <v>3152</v>
      </c>
      <c r="M39" s="19">
        <v>3152</v>
      </c>
      <c r="N39" s="19">
        <v>3152</v>
      </c>
    </row>
    <row r="40" spans="1:14" x14ac:dyDescent="0.3">
      <c r="A40" s="17"/>
      <c r="B40" s="23" t="s">
        <v>102</v>
      </c>
      <c r="C40" s="41">
        <f>C33-C34-C35+C36+C37-C38-C39</f>
        <v>50058</v>
      </c>
      <c r="D40" s="41">
        <f t="shared" ref="D40:N40" si="7">D33-D34-D35+D36+D37-D38-D39</f>
        <v>3203</v>
      </c>
      <c r="E40" s="41">
        <f t="shared" si="7"/>
        <v>-1718</v>
      </c>
      <c r="F40" s="41">
        <f t="shared" si="7"/>
        <v>11837.5</v>
      </c>
      <c r="G40" s="41">
        <f t="shared" si="7"/>
        <v>8524.5</v>
      </c>
      <c r="H40" s="41">
        <f t="shared" si="7"/>
        <v>-3302</v>
      </c>
      <c r="I40" s="41">
        <f t="shared" si="7"/>
        <v>-13823.220000000001</v>
      </c>
      <c r="J40" s="41">
        <f t="shared" si="7"/>
        <v>-14504.392500000002</v>
      </c>
      <c r="K40" s="41">
        <f t="shared" si="7"/>
        <v>-3586.5159999999887</v>
      </c>
      <c r="L40" s="41">
        <f t="shared" si="7"/>
        <v>-516.22550000000047</v>
      </c>
      <c r="M40" s="41">
        <f t="shared" si="7"/>
        <v>12292.334499999997</v>
      </c>
      <c r="N40" s="41">
        <f t="shared" si="7"/>
        <v>17368.099000000002</v>
      </c>
    </row>
    <row r="41" spans="1:14" x14ac:dyDescent="0.3">
      <c r="A41" s="17"/>
      <c r="B41" s="1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x14ac:dyDescent="0.3">
      <c r="A42" s="17"/>
      <c r="B42" s="25" t="s">
        <v>79</v>
      </c>
      <c r="C42" s="29">
        <f t="shared" ref="C42:N42" si="8">C4+C40</f>
        <v>144495.97950000007</v>
      </c>
      <c r="D42" s="29">
        <f t="shared" si="8"/>
        <v>147698.97950000007</v>
      </c>
      <c r="E42" s="29">
        <f t="shared" si="8"/>
        <v>145980.97950000007</v>
      </c>
      <c r="F42" s="29">
        <f t="shared" si="8"/>
        <v>157818.47950000007</v>
      </c>
      <c r="G42" s="29">
        <f t="shared" si="8"/>
        <v>166342.97950000007</v>
      </c>
      <c r="H42" s="29">
        <f t="shared" si="8"/>
        <v>163040.97950000007</v>
      </c>
      <c r="I42" s="29">
        <f t="shared" si="8"/>
        <v>149217.75950000007</v>
      </c>
      <c r="J42" s="29">
        <f t="shared" si="8"/>
        <v>134713.36700000009</v>
      </c>
      <c r="K42" s="29">
        <f t="shared" si="8"/>
        <v>131126.85100000008</v>
      </c>
      <c r="L42" s="29">
        <f t="shared" si="8"/>
        <v>130610.62550000008</v>
      </c>
      <c r="M42" s="29">
        <f t="shared" si="8"/>
        <v>142902.96000000008</v>
      </c>
      <c r="N42" s="29">
        <f t="shared" si="8"/>
        <v>160271.05900000007</v>
      </c>
    </row>
    <row r="44" spans="1:14" x14ac:dyDescent="0.3">
      <c r="B44" s="72" t="s">
        <v>124</v>
      </c>
      <c r="C44" s="73">
        <f>C33/C6</f>
        <v>7.1330749354005171E-2</v>
      </c>
      <c r="D44" s="73">
        <f t="shared" ref="D44:N44" si="9">D33/D6</f>
        <v>8.4959893048128336E-3</v>
      </c>
      <c r="E44" s="73">
        <f t="shared" si="9"/>
        <v>1.9248322147651007E-3</v>
      </c>
      <c r="F44" s="73">
        <f t="shared" si="9"/>
        <v>1.9879973474801062E-2</v>
      </c>
      <c r="G44" s="73">
        <f t="shared" si="9"/>
        <v>1.5486074270557029E-2</v>
      </c>
      <c r="H44" s="73">
        <f t="shared" si="9"/>
        <v>-2.0134228187919463E-4</v>
      </c>
      <c r="I44" s="73">
        <f t="shared" si="9"/>
        <v>-1.9908992537313434E-2</v>
      </c>
      <c r="J44" s="73">
        <f t="shared" si="9"/>
        <v>-2.1179836753731345E-2</v>
      </c>
      <c r="K44" s="73">
        <f t="shared" si="9"/>
        <v>-7.9727706422016281E-4</v>
      </c>
      <c r="L44" s="73">
        <f t="shared" si="9"/>
        <v>4.0864720930232547E-3</v>
      </c>
      <c r="M44" s="73">
        <f t="shared" si="9"/>
        <v>2.3615190366972474E-2</v>
      </c>
      <c r="N44" s="73">
        <f t="shared" si="9"/>
        <v>3.1376298165137616E-2</v>
      </c>
    </row>
    <row r="45" spans="1:14" x14ac:dyDescent="0.3">
      <c r="B45" s="72" t="s">
        <v>125</v>
      </c>
      <c r="C45" s="75">
        <f>C33/C39</f>
        <v>17.515862944162436</v>
      </c>
      <c r="D45" s="75">
        <f t="shared" ref="D45:N45" si="10">D33/D39</f>
        <v>2.0161802030456855</v>
      </c>
      <c r="E45" s="75">
        <f t="shared" si="10"/>
        <v>0.45494923857868019</v>
      </c>
      <c r="F45" s="75">
        <f t="shared" si="10"/>
        <v>4.7555520304568528</v>
      </c>
      <c r="G45" s="75">
        <f t="shared" si="10"/>
        <v>3.704473350253807</v>
      </c>
      <c r="H45" s="75">
        <f t="shared" si="10"/>
        <v>-4.7588832487309642E-2</v>
      </c>
      <c r="I45" s="75">
        <f t="shared" si="10"/>
        <v>-3.385539340101523</v>
      </c>
      <c r="J45" s="75">
        <f t="shared" si="10"/>
        <v>-3.6016473667512696</v>
      </c>
      <c r="K45" s="75">
        <f t="shared" si="10"/>
        <v>-0.137854060913702</v>
      </c>
      <c r="L45" s="75">
        <f t="shared" si="10"/>
        <v>0.83622287436548204</v>
      </c>
      <c r="M45" s="75">
        <f t="shared" si="10"/>
        <v>4.8998523159898468</v>
      </c>
      <c r="N45" s="75">
        <f t="shared" si="10"/>
        <v>6.5101836928934018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N45"/>
  <sheetViews>
    <sheetView tabSelected="1" topLeftCell="A2" zoomScaleNormal="100" zoomScalePageLayoutView="91" workbookViewId="0">
      <selection activeCell="B13" sqref="B13"/>
    </sheetView>
  </sheetViews>
  <sheetFormatPr defaultColWidth="8.88671875" defaultRowHeight="15.6" x14ac:dyDescent="0.3"/>
  <cols>
    <col min="1" max="1" width="2.109375" customWidth="1"/>
    <col min="2" max="2" width="44.6640625" customWidth="1"/>
    <col min="3" max="14" width="13.109375" customWidth="1"/>
  </cols>
  <sheetData>
    <row r="1" spans="1:14" ht="23.4" hidden="1" x14ac:dyDescent="0.45">
      <c r="A1" s="138">
        <f>Transactions!A1:H1</f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ht="23.4" x14ac:dyDescent="0.45">
      <c r="A2" s="139" t="s">
        <v>182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x14ac:dyDescent="0.3">
      <c r="A3" s="17"/>
      <c r="B3" s="17"/>
      <c r="C3" s="18" t="s">
        <v>61</v>
      </c>
      <c r="D3" s="18" t="s">
        <v>62</v>
      </c>
      <c r="E3" s="18" t="s">
        <v>63</v>
      </c>
      <c r="F3" s="18" t="s">
        <v>64</v>
      </c>
      <c r="G3" s="18" t="s">
        <v>65</v>
      </c>
      <c r="H3" s="18" t="s">
        <v>66</v>
      </c>
      <c r="I3" s="18" t="s">
        <v>67</v>
      </c>
      <c r="J3" s="18" t="s">
        <v>68</v>
      </c>
      <c r="K3" s="18" t="s">
        <v>69</v>
      </c>
      <c r="L3" s="18" t="s">
        <v>70</v>
      </c>
      <c r="M3" s="18" t="s">
        <v>71</v>
      </c>
      <c r="N3" s="18" t="s">
        <v>72</v>
      </c>
    </row>
    <row r="4" spans="1:14" x14ac:dyDescent="0.3">
      <c r="A4" s="17"/>
      <c r="B4" s="25" t="s">
        <v>78</v>
      </c>
      <c r="C4" s="26">
        <f>'Forecast Year 2'!N42</f>
        <v>160271.05900000007</v>
      </c>
      <c r="D4" s="26">
        <f>C42</f>
        <v>187129.05900000007</v>
      </c>
      <c r="E4" s="26">
        <f t="shared" ref="E4:N4" si="0">D42</f>
        <v>85132.059000000067</v>
      </c>
      <c r="F4" s="26">
        <f t="shared" si="0"/>
        <v>134214.05900000007</v>
      </c>
      <c r="G4" s="26">
        <f t="shared" si="0"/>
        <v>190578.55900000007</v>
      </c>
      <c r="H4" s="26">
        <f t="shared" si="0"/>
        <v>232630.05900000007</v>
      </c>
      <c r="I4" s="26">
        <f t="shared" si="0"/>
        <v>282008.05900000007</v>
      </c>
      <c r="J4" s="26">
        <f t="shared" si="0"/>
        <v>374864.83900000004</v>
      </c>
      <c r="K4" s="26">
        <f t="shared" si="0"/>
        <v>619887.44650000008</v>
      </c>
      <c r="L4" s="26">
        <f t="shared" si="0"/>
        <v>592827.93050000013</v>
      </c>
      <c r="M4" s="26">
        <f t="shared" si="0"/>
        <v>589838.70500000007</v>
      </c>
      <c r="N4" s="26">
        <f t="shared" si="0"/>
        <v>648658.03950000007</v>
      </c>
    </row>
    <row r="5" spans="1:14" x14ac:dyDescent="0.3">
      <c r="A5" s="17"/>
      <c r="B5" s="1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3">
      <c r="A6" s="17"/>
      <c r="B6" s="30" t="s">
        <v>74</v>
      </c>
      <c r="C6" s="24">
        <v>754000</v>
      </c>
      <c r="D6" s="24">
        <v>645000</v>
      </c>
      <c r="E6" s="24">
        <v>798000</v>
      </c>
      <c r="F6" s="24">
        <v>801000</v>
      </c>
      <c r="G6" s="24">
        <v>790000</v>
      </c>
      <c r="H6" s="24">
        <v>800000</v>
      </c>
      <c r="I6" s="24">
        <v>645000</v>
      </c>
      <c r="J6" s="24">
        <v>798000</v>
      </c>
      <c r="K6" s="24">
        <v>754000</v>
      </c>
      <c r="L6" s="24">
        <v>645000</v>
      </c>
      <c r="M6" s="24">
        <v>798000</v>
      </c>
      <c r="N6" s="24">
        <v>801000</v>
      </c>
    </row>
    <row r="7" spans="1:14" x14ac:dyDescent="0.3">
      <c r="A7" s="17"/>
      <c r="B7" s="30" t="s">
        <v>73</v>
      </c>
      <c r="C7" s="24">
        <v>654000</v>
      </c>
      <c r="D7" s="24">
        <v>670000</v>
      </c>
      <c r="E7" s="24">
        <v>670000</v>
      </c>
      <c r="F7" s="24">
        <v>664000</v>
      </c>
      <c r="G7" s="24">
        <v>664000</v>
      </c>
      <c r="H7" s="24">
        <v>670000</v>
      </c>
      <c r="I7" s="24">
        <v>476000</v>
      </c>
      <c r="J7" s="24">
        <v>476000</v>
      </c>
      <c r="K7" s="24">
        <v>700000</v>
      </c>
      <c r="L7" s="24">
        <v>570000</v>
      </c>
      <c r="M7" s="24">
        <v>659000</v>
      </c>
      <c r="N7" s="24">
        <v>654154</v>
      </c>
    </row>
    <row r="8" spans="1:14" x14ac:dyDescent="0.3">
      <c r="A8" s="17"/>
      <c r="B8" s="23" t="s">
        <v>75</v>
      </c>
      <c r="C8" s="31">
        <f t="shared" ref="C8:N8" si="1">C6-C7</f>
        <v>100000</v>
      </c>
      <c r="D8" s="31">
        <f t="shared" si="1"/>
        <v>-25000</v>
      </c>
      <c r="E8" s="31">
        <f t="shared" si="1"/>
        <v>128000</v>
      </c>
      <c r="F8" s="31">
        <f t="shared" si="1"/>
        <v>137000</v>
      </c>
      <c r="G8" s="31">
        <f t="shared" si="1"/>
        <v>126000</v>
      </c>
      <c r="H8" s="31">
        <f t="shared" si="1"/>
        <v>130000</v>
      </c>
      <c r="I8" s="31">
        <f t="shared" si="1"/>
        <v>169000</v>
      </c>
      <c r="J8" s="31">
        <f t="shared" si="1"/>
        <v>322000</v>
      </c>
      <c r="K8" s="31">
        <f t="shared" si="1"/>
        <v>54000</v>
      </c>
      <c r="L8" s="31">
        <f t="shared" si="1"/>
        <v>75000</v>
      </c>
      <c r="M8" s="31">
        <f t="shared" si="1"/>
        <v>139000</v>
      </c>
      <c r="N8" s="31">
        <f t="shared" si="1"/>
        <v>146846</v>
      </c>
    </row>
    <row r="9" spans="1:14" x14ac:dyDescent="0.3">
      <c r="A9" s="17"/>
      <c r="B9" s="1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3">
      <c r="A10" s="17"/>
      <c r="B10" s="20" t="s">
        <v>4</v>
      </c>
      <c r="C10" s="19">
        <v>575</v>
      </c>
      <c r="D10" s="19">
        <v>575</v>
      </c>
      <c r="E10" s="19">
        <v>575</v>
      </c>
      <c r="F10" s="19">
        <v>575</v>
      </c>
      <c r="G10" s="19">
        <v>575</v>
      </c>
      <c r="H10" s="19">
        <v>575</v>
      </c>
      <c r="I10" s="19">
        <v>575</v>
      </c>
      <c r="J10" s="19">
        <v>575</v>
      </c>
      <c r="K10" s="19">
        <v>575</v>
      </c>
      <c r="L10" s="19">
        <v>575</v>
      </c>
      <c r="M10" s="19">
        <v>575</v>
      </c>
      <c r="N10" s="19">
        <v>575</v>
      </c>
    </row>
    <row r="11" spans="1:14" x14ac:dyDescent="0.3">
      <c r="A11" s="17"/>
      <c r="B11" s="20" t="s">
        <v>17</v>
      </c>
      <c r="C11" s="19">
        <v>250</v>
      </c>
      <c r="D11" s="19">
        <v>250</v>
      </c>
      <c r="E11" s="19">
        <v>250</v>
      </c>
      <c r="F11" s="19">
        <v>250</v>
      </c>
      <c r="G11" s="19">
        <v>250</v>
      </c>
      <c r="H11" s="19">
        <v>250</v>
      </c>
      <c r="I11" s="19">
        <v>250</v>
      </c>
      <c r="J11" s="19">
        <v>250</v>
      </c>
      <c r="K11" s="19">
        <v>250</v>
      </c>
      <c r="L11" s="19">
        <v>250</v>
      </c>
      <c r="M11" s="19">
        <v>250</v>
      </c>
      <c r="N11" s="19">
        <v>250</v>
      </c>
    </row>
    <row r="12" spans="1:14" x14ac:dyDescent="0.3">
      <c r="A12" s="17"/>
      <c r="B12" s="20" t="s">
        <v>18</v>
      </c>
      <c r="C12" s="19">
        <v>30200</v>
      </c>
      <c r="D12" s="19">
        <v>30300</v>
      </c>
      <c r="E12" s="19">
        <v>32351</v>
      </c>
      <c r="F12" s="19">
        <v>32300</v>
      </c>
      <c r="G12" s="19">
        <v>33250</v>
      </c>
      <c r="H12" s="19">
        <v>33200</v>
      </c>
      <c r="I12" s="19">
        <v>29200</v>
      </c>
      <c r="J12" s="19">
        <v>29200</v>
      </c>
      <c r="K12" s="19">
        <v>29700</v>
      </c>
      <c r="L12" s="19">
        <v>28744</v>
      </c>
      <c r="M12" s="19">
        <v>29899</v>
      </c>
      <c r="N12" s="19">
        <v>28744</v>
      </c>
    </row>
    <row r="13" spans="1:14" x14ac:dyDescent="0.3">
      <c r="A13" s="17"/>
      <c r="B13" s="20" t="s">
        <v>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14" x14ac:dyDescent="0.3">
      <c r="A14" s="17"/>
      <c r="B14" s="20" t="s">
        <v>21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14" x14ac:dyDescent="0.3">
      <c r="A15" s="17"/>
      <c r="B15" s="20" t="s">
        <v>22</v>
      </c>
      <c r="C15" s="19">
        <v>1960</v>
      </c>
      <c r="D15" s="19">
        <v>1960</v>
      </c>
      <c r="E15" s="19">
        <v>1960</v>
      </c>
      <c r="F15" s="19">
        <v>1960</v>
      </c>
      <c r="G15" s="19">
        <v>1960</v>
      </c>
      <c r="H15" s="19">
        <v>1960</v>
      </c>
      <c r="I15" s="19">
        <v>1960</v>
      </c>
      <c r="J15" s="19">
        <v>1960</v>
      </c>
      <c r="K15" s="19">
        <v>1960</v>
      </c>
      <c r="L15" s="19">
        <v>1960</v>
      </c>
      <c r="M15" s="19">
        <v>1960</v>
      </c>
      <c r="N15" s="19">
        <v>1960</v>
      </c>
    </row>
    <row r="16" spans="1:14" x14ac:dyDescent="0.3">
      <c r="A16" s="17"/>
      <c r="B16" s="20" t="s">
        <v>25</v>
      </c>
      <c r="C16" s="19">
        <v>340</v>
      </c>
      <c r="D16" s="19">
        <v>340</v>
      </c>
      <c r="E16" s="19">
        <v>340</v>
      </c>
      <c r="F16" s="19">
        <v>340</v>
      </c>
      <c r="G16" s="19">
        <v>340</v>
      </c>
      <c r="H16" s="19">
        <v>340</v>
      </c>
      <c r="I16" s="19">
        <v>340</v>
      </c>
      <c r="J16" s="19">
        <v>340</v>
      </c>
      <c r="K16" s="19">
        <v>340</v>
      </c>
      <c r="L16" s="19">
        <v>340</v>
      </c>
      <c r="M16" s="19">
        <v>340</v>
      </c>
      <c r="N16" s="19">
        <v>340</v>
      </c>
    </row>
    <row r="17" spans="1:14" x14ac:dyDescent="0.3">
      <c r="A17" s="17"/>
      <c r="B17" s="20" t="s">
        <v>26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x14ac:dyDescent="0.3">
      <c r="A18" s="17"/>
      <c r="B18" s="21" t="s">
        <v>96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x14ac:dyDescent="0.3">
      <c r="A19" s="17"/>
      <c r="B19" s="21" t="s">
        <v>97</v>
      </c>
      <c r="C19" s="19">
        <v>800</v>
      </c>
      <c r="D19" s="19">
        <v>1000</v>
      </c>
      <c r="E19" s="19">
        <v>1000</v>
      </c>
      <c r="F19" s="19">
        <v>1000</v>
      </c>
      <c r="G19" s="19">
        <v>1000</v>
      </c>
      <c r="H19" s="19">
        <v>1000</v>
      </c>
      <c r="I19" s="19">
        <v>1000</v>
      </c>
      <c r="J19" s="19">
        <v>1000</v>
      </c>
      <c r="K19" s="19">
        <v>1000</v>
      </c>
      <c r="L19" s="19">
        <v>1000</v>
      </c>
      <c r="M19" s="19">
        <v>1000</v>
      </c>
      <c r="N19" s="19">
        <v>1000</v>
      </c>
    </row>
    <row r="20" spans="1:14" x14ac:dyDescent="0.3">
      <c r="A20" s="17"/>
      <c r="B20" s="20" t="s">
        <v>31</v>
      </c>
      <c r="C20" s="19">
        <v>0</v>
      </c>
      <c r="D20" s="19">
        <v>5000</v>
      </c>
      <c r="E20" s="19">
        <v>5000</v>
      </c>
      <c r="F20" s="19">
        <v>5000</v>
      </c>
      <c r="G20" s="19">
        <v>5000</v>
      </c>
      <c r="H20" s="19">
        <v>5000</v>
      </c>
      <c r="I20" s="19">
        <v>5000</v>
      </c>
      <c r="J20" s="19">
        <v>5000</v>
      </c>
      <c r="K20" s="19">
        <v>5000</v>
      </c>
      <c r="L20" s="19">
        <v>5000</v>
      </c>
      <c r="M20" s="19">
        <v>5000</v>
      </c>
      <c r="N20" s="19">
        <v>5000</v>
      </c>
    </row>
    <row r="21" spans="1:14" x14ac:dyDescent="0.3">
      <c r="A21" s="17"/>
      <c r="B21" s="20" t="s">
        <v>3</v>
      </c>
      <c r="C21" s="19">
        <v>250</v>
      </c>
      <c r="D21" s="19">
        <v>200</v>
      </c>
      <c r="E21" s="19">
        <v>200</v>
      </c>
      <c r="F21" s="19">
        <v>200</v>
      </c>
      <c r="G21" s="19">
        <v>200</v>
      </c>
      <c r="H21" s="19">
        <v>200</v>
      </c>
      <c r="I21" s="19">
        <v>200</v>
      </c>
      <c r="J21" s="19">
        <v>200</v>
      </c>
      <c r="K21" s="19">
        <v>200</v>
      </c>
      <c r="L21" s="19">
        <v>200</v>
      </c>
      <c r="M21" s="19">
        <v>200</v>
      </c>
      <c r="N21" s="19">
        <v>200</v>
      </c>
    </row>
    <row r="22" spans="1:14" x14ac:dyDescent="0.3">
      <c r="A22" s="17"/>
      <c r="B22" s="20" t="s">
        <v>98</v>
      </c>
      <c r="C22" s="19">
        <v>290</v>
      </c>
      <c r="D22" s="19">
        <v>290</v>
      </c>
      <c r="E22" s="19">
        <v>290</v>
      </c>
      <c r="F22" s="19">
        <v>290</v>
      </c>
      <c r="G22" s="19">
        <v>290</v>
      </c>
      <c r="H22" s="19">
        <v>290</v>
      </c>
      <c r="I22" s="19">
        <v>290</v>
      </c>
      <c r="J22" s="19">
        <v>290</v>
      </c>
      <c r="K22" s="19">
        <v>290</v>
      </c>
      <c r="L22" s="19">
        <v>290</v>
      </c>
      <c r="M22" s="19">
        <v>290</v>
      </c>
      <c r="N22" s="19">
        <v>290</v>
      </c>
    </row>
    <row r="23" spans="1:14" x14ac:dyDescent="0.3">
      <c r="A23" s="17"/>
      <c r="B23" s="21" t="s">
        <v>32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x14ac:dyDescent="0.3">
      <c r="A24" s="17"/>
      <c r="B24" s="21" t="s">
        <v>33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3">
      <c r="A25" s="17"/>
      <c r="B25" s="20" t="s">
        <v>34</v>
      </c>
      <c r="C25" s="19">
        <v>25000</v>
      </c>
      <c r="D25" s="19">
        <v>25500</v>
      </c>
      <c r="E25" s="19">
        <v>25000</v>
      </c>
      <c r="F25" s="19">
        <v>29000</v>
      </c>
      <c r="G25" s="19">
        <v>31000</v>
      </c>
      <c r="H25" s="19">
        <v>28000</v>
      </c>
      <c r="I25" s="19">
        <v>27987</v>
      </c>
      <c r="J25" s="19">
        <v>28545</v>
      </c>
      <c r="K25" s="19">
        <v>31784</v>
      </c>
      <c r="L25" s="19">
        <v>29987</v>
      </c>
      <c r="M25" s="19">
        <v>30547</v>
      </c>
      <c r="N25" s="19">
        <v>27274</v>
      </c>
    </row>
    <row r="26" spans="1:14" x14ac:dyDescent="0.3">
      <c r="A26" s="17"/>
      <c r="B26" s="20" t="s">
        <v>99</v>
      </c>
      <c r="C26" s="82">
        <v>0</v>
      </c>
      <c r="D26" s="82">
        <v>2900</v>
      </c>
      <c r="E26" s="82">
        <v>2800</v>
      </c>
      <c r="F26" s="82">
        <v>2610</v>
      </c>
      <c r="G26" s="82">
        <v>2700</v>
      </c>
      <c r="H26" s="82">
        <v>2695</v>
      </c>
      <c r="I26" s="82">
        <v>2410</v>
      </c>
      <c r="J26" s="82">
        <v>2569</v>
      </c>
      <c r="K26" s="82">
        <v>2470</v>
      </c>
      <c r="L26" s="82">
        <v>2398</v>
      </c>
      <c r="M26" s="82">
        <v>2798</v>
      </c>
      <c r="N26" s="82">
        <v>2597</v>
      </c>
    </row>
    <row r="27" spans="1:14" x14ac:dyDescent="0.3">
      <c r="A27" s="17"/>
      <c r="B27" s="20" t="s">
        <v>8</v>
      </c>
      <c r="C27" s="19">
        <v>5825</v>
      </c>
      <c r="D27" s="19">
        <v>4000</v>
      </c>
      <c r="E27" s="19">
        <v>4500</v>
      </c>
      <c r="F27" s="19">
        <f>F25*0.0765</f>
        <v>2218.5</v>
      </c>
      <c r="G27" s="19">
        <f>G25*0.0765</f>
        <v>2371.5</v>
      </c>
      <c r="H27" s="19">
        <v>2280</v>
      </c>
      <c r="I27" s="19">
        <v>2100</v>
      </c>
      <c r="J27" s="19">
        <f t="shared" ref="F27:N27" si="2">J25*0.0765</f>
        <v>2183.6925000000001</v>
      </c>
      <c r="K27" s="19">
        <f t="shared" si="2"/>
        <v>2431.4760000000001</v>
      </c>
      <c r="L27" s="19">
        <f t="shared" si="2"/>
        <v>2294.0054999999998</v>
      </c>
      <c r="M27" s="19">
        <f t="shared" si="2"/>
        <v>2336.8454999999999</v>
      </c>
      <c r="N27" s="19">
        <f t="shared" si="2"/>
        <v>2086.4609999999998</v>
      </c>
    </row>
    <row r="28" spans="1:14" x14ac:dyDescent="0.3">
      <c r="A28" s="17"/>
      <c r="B28" s="20" t="s">
        <v>105</v>
      </c>
      <c r="C28" s="19">
        <f>C25*0.006</f>
        <v>150</v>
      </c>
      <c r="D28" s="19">
        <f t="shared" ref="D28:N28" si="3">D25*0.006</f>
        <v>153</v>
      </c>
      <c r="E28" s="19">
        <f t="shared" si="3"/>
        <v>150</v>
      </c>
      <c r="F28" s="19">
        <f t="shared" si="3"/>
        <v>174</v>
      </c>
      <c r="G28" s="19">
        <f t="shared" si="3"/>
        <v>186</v>
      </c>
      <c r="H28" s="19">
        <f t="shared" si="3"/>
        <v>168</v>
      </c>
      <c r="I28" s="19">
        <f t="shared" si="3"/>
        <v>167.922</v>
      </c>
      <c r="J28" s="19">
        <f t="shared" si="3"/>
        <v>171.27</v>
      </c>
      <c r="K28" s="19">
        <f t="shared" si="3"/>
        <v>190.70400000000001</v>
      </c>
      <c r="L28" s="19">
        <f t="shared" si="3"/>
        <v>179.922</v>
      </c>
      <c r="M28" s="19">
        <f t="shared" si="3"/>
        <v>183.28200000000001</v>
      </c>
      <c r="N28" s="19">
        <f t="shared" si="3"/>
        <v>163.64400000000001</v>
      </c>
    </row>
    <row r="29" spans="1:14" x14ac:dyDescent="0.3">
      <c r="A29" s="17"/>
      <c r="B29" s="20" t="s">
        <v>103</v>
      </c>
      <c r="C29" s="19">
        <f>C25*0.054</f>
        <v>1350</v>
      </c>
      <c r="D29" s="19">
        <f t="shared" ref="D29:N29" si="4">D25*0.054</f>
        <v>1377</v>
      </c>
      <c r="E29" s="19">
        <f t="shared" si="4"/>
        <v>1350</v>
      </c>
      <c r="F29" s="19">
        <f t="shared" si="4"/>
        <v>1566</v>
      </c>
      <c r="G29" s="19">
        <f t="shared" si="4"/>
        <v>1674</v>
      </c>
      <c r="H29" s="19">
        <f t="shared" si="4"/>
        <v>1512</v>
      </c>
      <c r="I29" s="19">
        <f t="shared" si="4"/>
        <v>1511.298</v>
      </c>
      <c r="J29" s="19">
        <f t="shared" si="4"/>
        <v>1541.43</v>
      </c>
      <c r="K29" s="19">
        <f t="shared" si="4"/>
        <v>1716.336</v>
      </c>
      <c r="L29" s="19">
        <f t="shared" si="4"/>
        <v>1619.298</v>
      </c>
      <c r="M29" s="19">
        <f t="shared" si="4"/>
        <v>1649.538</v>
      </c>
      <c r="N29" s="19">
        <f t="shared" si="4"/>
        <v>1472.796</v>
      </c>
    </row>
    <row r="30" spans="1:14" x14ac:dyDescent="0.3">
      <c r="A30" s="17"/>
      <c r="B30" s="20" t="s">
        <v>104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x14ac:dyDescent="0.3">
      <c r="A31" s="17"/>
      <c r="B31" s="27" t="s">
        <v>76</v>
      </c>
      <c r="C31" s="39">
        <f t="shared" ref="C31:N31" si="5">SUM(C10:C30)</f>
        <v>66990</v>
      </c>
      <c r="D31" s="39">
        <f t="shared" si="5"/>
        <v>73845</v>
      </c>
      <c r="E31" s="39">
        <f t="shared" si="5"/>
        <v>75766</v>
      </c>
      <c r="F31" s="39">
        <f t="shared" si="5"/>
        <v>77483.5</v>
      </c>
      <c r="G31" s="39">
        <f t="shared" si="5"/>
        <v>80796.5</v>
      </c>
      <c r="H31" s="39">
        <f t="shared" si="5"/>
        <v>77470</v>
      </c>
      <c r="I31" s="39">
        <f t="shared" si="5"/>
        <v>72991.22</v>
      </c>
      <c r="J31" s="39">
        <f t="shared" si="5"/>
        <v>73825.392500000002</v>
      </c>
      <c r="K31" s="39">
        <f t="shared" si="5"/>
        <v>77907.515999999989</v>
      </c>
      <c r="L31" s="39">
        <f t="shared" si="5"/>
        <v>74837.2255</v>
      </c>
      <c r="M31" s="39">
        <f t="shared" si="5"/>
        <v>77028.665500000003</v>
      </c>
      <c r="N31" s="39">
        <f t="shared" si="5"/>
        <v>71952.900999999998</v>
      </c>
    </row>
    <row r="32" spans="1:14" x14ac:dyDescent="0.3">
      <c r="A32" s="17"/>
      <c r="B32" s="17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x14ac:dyDescent="0.3">
      <c r="A33" s="17"/>
      <c r="B33" s="28" t="s">
        <v>39</v>
      </c>
      <c r="C33" s="40">
        <f t="shared" ref="C33:N33" si="6">C8-C31</f>
        <v>33010</v>
      </c>
      <c r="D33" s="40">
        <f t="shared" si="6"/>
        <v>-98845</v>
      </c>
      <c r="E33" s="40">
        <f t="shared" si="6"/>
        <v>52234</v>
      </c>
      <c r="F33" s="40">
        <f t="shared" si="6"/>
        <v>59516.5</v>
      </c>
      <c r="G33" s="40">
        <f t="shared" si="6"/>
        <v>45203.5</v>
      </c>
      <c r="H33" s="40">
        <f t="shared" si="6"/>
        <v>52530</v>
      </c>
      <c r="I33" s="40">
        <f t="shared" si="6"/>
        <v>96008.78</v>
      </c>
      <c r="J33" s="40">
        <f t="shared" si="6"/>
        <v>248174.60749999998</v>
      </c>
      <c r="K33" s="40">
        <f t="shared" si="6"/>
        <v>-23907.515999999989</v>
      </c>
      <c r="L33" s="40">
        <f t="shared" si="6"/>
        <v>162.77449999999953</v>
      </c>
      <c r="M33" s="40">
        <f t="shared" si="6"/>
        <v>61971.334499999997</v>
      </c>
      <c r="N33" s="40">
        <f t="shared" si="6"/>
        <v>74893.099000000002</v>
      </c>
    </row>
    <row r="34" spans="1:14" x14ac:dyDescent="0.3">
      <c r="A34" s="17"/>
      <c r="B34" s="20" t="s">
        <v>106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3">
      <c r="A35" s="17"/>
      <c r="B35" s="20" t="s">
        <v>86</v>
      </c>
      <c r="C35" s="19">
        <v>3000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x14ac:dyDescent="0.3">
      <c r="A36" s="17"/>
      <c r="B36" s="20" t="s">
        <v>84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x14ac:dyDescent="0.3">
      <c r="A37" s="17"/>
      <c r="B37" s="20" t="s">
        <v>123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x14ac:dyDescent="0.3">
      <c r="A38" s="17"/>
      <c r="B38" s="20" t="s">
        <v>100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x14ac:dyDescent="0.3">
      <c r="A39" s="17"/>
      <c r="B39" s="20" t="s">
        <v>101</v>
      </c>
      <c r="C39" s="19">
        <v>3152</v>
      </c>
      <c r="D39" s="19">
        <v>3152</v>
      </c>
      <c r="E39" s="19">
        <v>3152</v>
      </c>
      <c r="F39" s="19">
        <v>3152</v>
      </c>
      <c r="G39" s="19">
        <v>3152</v>
      </c>
      <c r="H39" s="19">
        <v>3152</v>
      </c>
      <c r="I39" s="19">
        <v>3152</v>
      </c>
      <c r="J39" s="19">
        <v>3152</v>
      </c>
      <c r="K39" s="19">
        <v>3152</v>
      </c>
      <c r="L39" s="19">
        <v>3152</v>
      </c>
      <c r="M39" s="19">
        <v>3152</v>
      </c>
      <c r="N39" s="19">
        <v>3152</v>
      </c>
    </row>
    <row r="40" spans="1:14" x14ac:dyDescent="0.3">
      <c r="A40" s="17"/>
      <c r="B40" s="23" t="s">
        <v>102</v>
      </c>
      <c r="C40" s="41">
        <f>C33-C34-C35+C36+C37-C38-C39</f>
        <v>26858</v>
      </c>
      <c r="D40" s="41">
        <f t="shared" ref="D40:N40" si="7">D33-D34-D35+D36+D37-D38-D39</f>
        <v>-101997</v>
      </c>
      <c r="E40" s="41">
        <f t="shared" si="7"/>
        <v>49082</v>
      </c>
      <c r="F40" s="41">
        <f t="shared" si="7"/>
        <v>56364.5</v>
      </c>
      <c r="G40" s="41">
        <f t="shared" si="7"/>
        <v>42051.5</v>
      </c>
      <c r="H40" s="41">
        <f t="shared" si="7"/>
        <v>49378</v>
      </c>
      <c r="I40" s="41">
        <f t="shared" si="7"/>
        <v>92856.78</v>
      </c>
      <c r="J40" s="41">
        <f t="shared" si="7"/>
        <v>245022.60749999998</v>
      </c>
      <c r="K40" s="41">
        <f t="shared" si="7"/>
        <v>-27059.515999999989</v>
      </c>
      <c r="L40" s="41">
        <f t="shared" si="7"/>
        <v>-2989.2255000000005</v>
      </c>
      <c r="M40" s="41">
        <f t="shared" si="7"/>
        <v>58819.334499999997</v>
      </c>
      <c r="N40" s="41">
        <f t="shared" si="7"/>
        <v>71741.099000000002</v>
      </c>
    </row>
    <row r="41" spans="1:14" x14ac:dyDescent="0.3">
      <c r="A41" s="17"/>
      <c r="B41" s="1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x14ac:dyDescent="0.3">
      <c r="A42" s="17"/>
      <c r="B42" s="25" t="s">
        <v>79</v>
      </c>
      <c r="C42" s="29">
        <f t="shared" ref="C42:N42" si="8">C4+C40</f>
        <v>187129.05900000007</v>
      </c>
      <c r="D42" s="29">
        <f t="shared" si="8"/>
        <v>85132.059000000067</v>
      </c>
      <c r="E42" s="29">
        <f t="shared" si="8"/>
        <v>134214.05900000007</v>
      </c>
      <c r="F42" s="29">
        <f t="shared" si="8"/>
        <v>190578.55900000007</v>
      </c>
      <c r="G42" s="29">
        <f t="shared" si="8"/>
        <v>232630.05900000007</v>
      </c>
      <c r="H42" s="29">
        <f t="shared" si="8"/>
        <v>282008.05900000007</v>
      </c>
      <c r="I42" s="29">
        <f t="shared" si="8"/>
        <v>374864.83900000004</v>
      </c>
      <c r="J42" s="29">
        <f t="shared" si="8"/>
        <v>619887.44650000008</v>
      </c>
      <c r="K42" s="29">
        <f t="shared" si="8"/>
        <v>592827.93050000013</v>
      </c>
      <c r="L42" s="29">
        <f t="shared" si="8"/>
        <v>589838.70500000007</v>
      </c>
      <c r="M42" s="29">
        <f t="shared" si="8"/>
        <v>648658.03950000007</v>
      </c>
      <c r="N42" s="29">
        <f t="shared" si="8"/>
        <v>720399.13850000012</v>
      </c>
    </row>
    <row r="44" spans="1:14" x14ac:dyDescent="0.3">
      <c r="B44" s="72" t="s">
        <v>124</v>
      </c>
      <c r="C44" s="73">
        <f>C33/C6</f>
        <v>4.3779840848806366E-2</v>
      </c>
      <c r="D44" s="73">
        <f t="shared" ref="D44:N44" si="9">D33/D6</f>
        <v>-0.15324806201550387</v>
      </c>
      <c r="E44" s="73">
        <f t="shared" si="9"/>
        <v>6.5456140350877198E-2</v>
      </c>
      <c r="F44" s="73">
        <f t="shared" si="9"/>
        <v>7.4302746566791505E-2</v>
      </c>
      <c r="G44" s="73">
        <f t="shared" si="9"/>
        <v>5.7219620253164558E-2</v>
      </c>
      <c r="H44" s="73">
        <f t="shared" si="9"/>
        <v>6.5662499999999999E-2</v>
      </c>
      <c r="I44" s="73">
        <f t="shared" si="9"/>
        <v>0.14885082170542635</v>
      </c>
      <c r="J44" s="73">
        <f t="shared" si="9"/>
        <v>0.31099574874686714</v>
      </c>
      <c r="K44" s="73">
        <f t="shared" si="9"/>
        <v>-3.1707580901856748E-2</v>
      </c>
      <c r="L44" s="73">
        <f t="shared" si="9"/>
        <v>2.5236356589147216E-4</v>
      </c>
      <c r="M44" s="73">
        <f t="shared" si="9"/>
        <v>7.7658313909774429E-2</v>
      </c>
      <c r="N44" s="73">
        <f t="shared" si="9"/>
        <v>9.3499499375780282E-2</v>
      </c>
    </row>
    <row r="45" spans="1:14" x14ac:dyDescent="0.3">
      <c r="B45" s="72" t="s">
        <v>125</v>
      </c>
      <c r="C45" s="75">
        <f>C33/C39</f>
        <v>10.472715736040609</v>
      </c>
      <c r="D45" s="75">
        <f t="shared" ref="D45:N45" si="10">D33/D39</f>
        <v>-31.359454314720811</v>
      </c>
      <c r="E45" s="75">
        <f t="shared" si="10"/>
        <v>16.571700507614214</v>
      </c>
      <c r="F45" s="75">
        <f t="shared" si="10"/>
        <v>18.882138324873097</v>
      </c>
      <c r="G45" s="75">
        <f t="shared" si="10"/>
        <v>14.34121192893401</v>
      </c>
      <c r="H45" s="75">
        <f t="shared" si="10"/>
        <v>16.665609137055839</v>
      </c>
      <c r="I45" s="75">
        <f t="shared" si="10"/>
        <v>30.459638324873097</v>
      </c>
      <c r="J45" s="75">
        <f t="shared" si="10"/>
        <v>78.735598826142123</v>
      </c>
      <c r="K45" s="75">
        <f t="shared" si="10"/>
        <v>-7.5848718274111642</v>
      </c>
      <c r="L45" s="75">
        <f t="shared" si="10"/>
        <v>5.1641656091370412E-2</v>
      </c>
      <c r="M45" s="75">
        <f t="shared" si="10"/>
        <v>19.660956376903552</v>
      </c>
      <c r="N45" s="75">
        <f t="shared" si="10"/>
        <v>23.760500951776649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G134"/>
  <sheetViews>
    <sheetView topLeftCell="A4" workbookViewId="0">
      <selection activeCell="C15" sqref="C15"/>
    </sheetView>
  </sheetViews>
  <sheetFormatPr defaultColWidth="8.88671875" defaultRowHeight="10.199999999999999" x14ac:dyDescent="0.2"/>
  <cols>
    <col min="1" max="1" width="5.109375" style="46" customWidth="1"/>
    <col min="2" max="2" width="22.109375" style="46" customWidth="1"/>
    <col min="3" max="6" width="18.33203125" style="46" customWidth="1"/>
    <col min="7" max="16384" width="8.88671875" style="46"/>
  </cols>
  <sheetData>
    <row r="1" spans="1:7" ht="11.25" hidden="1" customHeight="1" x14ac:dyDescent="0.2">
      <c r="A1" s="140">
        <f>Transactions!A1</f>
        <v>0</v>
      </c>
      <c r="B1" s="141"/>
      <c r="C1" s="141"/>
      <c r="D1" s="141"/>
      <c r="E1" s="141"/>
      <c r="F1" s="142"/>
      <c r="G1" s="45"/>
    </row>
    <row r="2" spans="1:7" ht="10.8" hidden="1" thickBot="1" x14ac:dyDescent="0.25">
      <c r="A2" s="143"/>
      <c r="B2" s="144"/>
      <c r="C2" s="144"/>
      <c r="D2" s="144"/>
      <c r="E2" s="144"/>
      <c r="F2" s="145"/>
      <c r="G2" s="45"/>
    </row>
    <row r="3" spans="1:7" ht="20.399999999999999" thickBot="1" x14ac:dyDescent="0.45">
      <c r="A3" s="146" t="s">
        <v>107</v>
      </c>
      <c r="B3" s="147"/>
      <c r="C3" s="147"/>
      <c r="D3" s="147"/>
      <c r="E3" s="147"/>
      <c r="F3" s="148"/>
      <c r="G3" s="45"/>
    </row>
    <row r="4" spans="1:7" ht="15.6" x14ac:dyDescent="0.3">
      <c r="A4" s="47"/>
      <c r="B4" s="48"/>
      <c r="C4" s="48"/>
      <c r="D4" s="48"/>
      <c r="E4" s="48"/>
      <c r="F4" s="49"/>
      <c r="G4" s="45"/>
    </row>
    <row r="5" spans="1:7" ht="15.6" x14ac:dyDescent="0.3">
      <c r="A5" s="47"/>
      <c r="B5" s="50" t="s">
        <v>108</v>
      </c>
      <c r="C5" s="51">
        <v>480000</v>
      </c>
      <c r="D5" s="52"/>
      <c r="E5" s="53" t="s">
        <v>109</v>
      </c>
      <c r="F5" s="54">
        <f>Payment*Loan_Term*12-LoanAmount</f>
        <v>372586.19675801508</v>
      </c>
      <c r="G5" s="45"/>
    </row>
    <row r="6" spans="1:7" ht="15.6" x14ac:dyDescent="0.3">
      <c r="A6" s="47"/>
      <c r="B6" s="50" t="s">
        <v>110</v>
      </c>
      <c r="C6" s="55">
        <v>0.2</v>
      </c>
      <c r="D6" s="52"/>
      <c r="E6" s="53"/>
      <c r="F6" s="54"/>
      <c r="G6" s="45"/>
    </row>
    <row r="7" spans="1:7" ht="15.6" x14ac:dyDescent="0.3">
      <c r="A7" s="47"/>
      <c r="B7" s="50" t="s">
        <v>111</v>
      </c>
      <c r="C7" s="51">
        <f>Loan_Amount*C6</f>
        <v>96000</v>
      </c>
      <c r="D7" s="52"/>
      <c r="E7" s="53"/>
      <c r="F7" s="54"/>
      <c r="G7" s="45"/>
    </row>
    <row r="8" spans="1:7" ht="15.6" x14ac:dyDescent="0.3">
      <c r="A8" s="47"/>
      <c r="B8" s="50" t="s">
        <v>112</v>
      </c>
      <c r="C8" s="51">
        <f>Loan_Amount-C7</f>
        <v>384000</v>
      </c>
      <c r="D8" s="52"/>
      <c r="E8" s="53"/>
      <c r="F8" s="54"/>
      <c r="G8" s="45"/>
    </row>
    <row r="9" spans="1:7" ht="15.6" x14ac:dyDescent="0.3">
      <c r="A9" s="47"/>
      <c r="B9" s="56" t="s">
        <v>113</v>
      </c>
      <c r="C9" s="57">
        <v>20</v>
      </c>
      <c r="D9" s="58"/>
      <c r="E9" s="53" t="s">
        <v>114</v>
      </c>
      <c r="F9" s="54">
        <f>Payment*Loan_Term*12-Total_Interest</f>
        <v>384000</v>
      </c>
      <c r="G9" s="45"/>
    </row>
    <row r="10" spans="1:7" ht="15.6" x14ac:dyDescent="0.3">
      <c r="A10" s="47"/>
      <c r="B10" s="56" t="s">
        <v>115</v>
      </c>
      <c r="C10" s="55">
        <v>7.7499999999999999E-2</v>
      </c>
      <c r="D10" s="58"/>
      <c r="E10" s="53" t="s">
        <v>116</v>
      </c>
      <c r="F10" s="54">
        <f>Total_Interest+Total_Principal</f>
        <v>756586.19675801508</v>
      </c>
      <c r="G10" s="45"/>
    </row>
    <row r="11" spans="1:7" ht="15.6" x14ac:dyDescent="0.3">
      <c r="A11" s="47"/>
      <c r="B11" s="56" t="s">
        <v>117</v>
      </c>
      <c r="C11" s="59">
        <f>PMT(Rate/12,Loan_Term*12,-LoanAmount)</f>
        <v>3152.4424864917296</v>
      </c>
      <c r="D11" s="52"/>
      <c r="E11" s="60"/>
      <c r="F11" s="54"/>
      <c r="G11" s="45"/>
    </row>
    <row r="12" spans="1:7" ht="16.2" thickBot="1" x14ac:dyDescent="0.35">
      <c r="A12" s="61"/>
      <c r="B12" s="62"/>
      <c r="C12" s="63"/>
      <c r="D12" s="64"/>
      <c r="E12" s="65"/>
      <c r="F12" s="66"/>
      <c r="G12" s="45"/>
    </row>
    <row r="14" spans="1:7" ht="28.8" x14ac:dyDescent="0.3">
      <c r="A14" s="67" t="s">
        <v>118</v>
      </c>
      <c r="B14" s="68" t="s">
        <v>119</v>
      </c>
      <c r="C14" s="67" t="s">
        <v>23</v>
      </c>
      <c r="D14" s="67" t="s">
        <v>120</v>
      </c>
      <c r="E14" s="67" t="s">
        <v>121</v>
      </c>
      <c r="F14" s="68" t="s">
        <v>122</v>
      </c>
    </row>
    <row r="15" spans="1:7" ht="15.6" x14ac:dyDescent="0.3">
      <c r="A15" s="70">
        <v>1</v>
      </c>
      <c r="B15" s="69">
        <f>Total_Cost</f>
        <v>756586.19675801508</v>
      </c>
      <c r="C15" s="69">
        <f t="shared" ref="C15:C46" si="0">B15*(Rate/12)</f>
        <v>4886.285854062181</v>
      </c>
      <c r="D15" s="71">
        <f t="shared" ref="D15:D46" si="1">Payment-C15</f>
        <v>-1733.8433675704514</v>
      </c>
      <c r="E15" s="71">
        <f>C15+D15</f>
        <v>3152.4424864917296</v>
      </c>
      <c r="F15" s="71">
        <f>B15-E15</f>
        <v>753433.75427152333</v>
      </c>
    </row>
    <row r="16" spans="1:7" ht="15.6" x14ac:dyDescent="0.3">
      <c r="A16" s="70">
        <v>2</v>
      </c>
      <c r="B16" s="71">
        <f>F15</f>
        <v>753433.75427152333</v>
      </c>
      <c r="C16" s="69">
        <f t="shared" si="0"/>
        <v>4865.9263296702547</v>
      </c>
      <c r="D16" s="71">
        <f t="shared" si="1"/>
        <v>-1713.4838431785251</v>
      </c>
      <c r="E16" s="71">
        <f t="shared" ref="E16:E79" si="2">C16+D16</f>
        <v>3152.4424864917296</v>
      </c>
      <c r="F16" s="71">
        <f t="shared" ref="F16:F79" si="3">B16-E16</f>
        <v>750281.31178503158</v>
      </c>
    </row>
    <row r="17" spans="1:6" ht="15.6" x14ac:dyDescent="0.3">
      <c r="A17" s="70">
        <v>3</v>
      </c>
      <c r="B17" s="71">
        <f t="shared" ref="B17:B80" si="4">F16</f>
        <v>750281.31178503158</v>
      </c>
      <c r="C17" s="69">
        <f t="shared" si="0"/>
        <v>4845.5668052783285</v>
      </c>
      <c r="D17" s="71">
        <f t="shared" si="1"/>
        <v>-1693.1243187865989</v>
      </c>
      <c r="E17" s="71">
        <f t="shared" si="2"/>
        <v>3152.4424864917296</v>
      </c>
      <c r="F17" s="71">
        <f t="shared" si="3"/>
        <v>747128.86929853982</v>
      </c>
    </row>
    <row r="18" spans="1:6" ht="15.6" x14ac:dyDescent="0.3">
      <c r="A18" s="70">
        <v>4</v>
      </c>
      <c r="B18" s="71">
        <f t="shared" si="4"/>
        <v>747128.86929853982</v>
      </c>
      <c r="C18" s="69">
        <f t="shared" si="0"/>
        <v>4825.2072808864032</v>
      </c>
      <c r="D18" s="71">
        <f t="shared" si="1"/>
        <v>-1672.7647943946736</v>
      </c>
      <c r="E18" s="71">
        <f t="shared" si="2"/>
        <v>3152.4424864917296</v>
      </c>
      <c r="F18" s="71">
        <f t="shared" si="3"/>
        <v>743976.42681204807</v>
      </c>
    </row>
    <row r="19" spans="1:6" ht="15.6" x14ac:dyDescent="0.3">
      <c r="A19" s="70">
        <v>5</v>
      </c>
      <c r="B19" s="71">
        <f t="shared" si="4"/>
        <v>743976.42681204807</v>
      </c>
      <c r="C19" s="69">
        <f t="shared" si="0"/>
        <v>4804.8477564944769</v>
      </c>
      <c r="D19" s="71">
        <f t="shared" si="1"/>
        <v>-1652.4052700027473</v>
      </c>
      <c r="E19" s="71">
        <f t="shared" si="2"/>
        <v>3152.4424864917296</v>
      </c>
      <c r="F19" s="71">
        <f t="shared" si="3"/>
        <v>740823.98432555632</v>
      </c>
    </row>
    <row r="20" spans="1:6" ht="15.6" x14ac:dyDescent="0.3">
      <c r="A20" s="70">
        <v>6</v>
      </c>
      <c r="B20" s="71">
        <f t="shared" si="4"/>
        <v>740823.98432555632</v>
      </c>
      <c r="C20" s="69">
        <f t="shared" si="0"/>
        <v>4784.4882321025516</v>
      </c>
      <c r="D20" s="71">
        <f t="shared" si="1"/>
        <v>-1632.045745610822</v>
      </c>
      <c r="E20" s="71">
        <f t="shared" si="2"/>
        <v>3152.4424864917296</v>
      </c>
      <c r="F20" s="71">
        <f t="shared" si="3"/>
        <v>737671.54183906456</v>
      </c>
    </row>
    <row r="21" spans="1:6" ht="15.6" x14ac:dyDescent="0.3">
      <c r="A21" s="70">
        <v>7</v>
      </c>
      <c r="B21" s="71">
        <f t="shared" si="4"/>
        <v>737671.54183906456</v>
      </c>
      <c r="C21" s="69">
        <f t="shared" si="0"/>
        <v>4764.1287077106253</v>
      </c>
      <c r="D21" s="71">
        <f t="shared" si="1"/>
        <v>-1611.6862212188958</v>
      </c>
      <c r="E21" s="71">
        <f t="shared" si="2"/>
        <v>3152.4424864917296</v>
      </c>
      <c r="F21" s="71">
        <f t="shared" si="3"/>
        <v>734519.09935257281</v>
      </c>
    </row>
    <row r="22" spans="1:6" ht="15.6" x14ac:dyDescent="0.3">
      <c r="A22" s="70">
        <v>8</v>
      </c>
      <c r="B22" s="71">
        <f t="shared" si="4"/>
        <v>734519.09935257281</v>
      </c>
      <c r="C22" s="69">
        <f t="shared" si="0"/>
        <v>4743.7691833186991</v>
      </c>
      <c r="D22" s="71">
        <f t="shared" si="1"/>
        <v>-1591.3266968269695</v>
      </c>
      <c r="E22" s="71">
        <f t="shared" si="2"/>
        <v>3152.4424864917296</v>
      </c>
      <c r="F22" s="71">
        <f t="shared" si="3"/>
        <v>731366.65686608106</v>
      </c>
    </row>
    <row r="23" spans="1:6" ht="15.6" x14ac:dyDescent="0.3">
      <c r="A23" s="70">
        <v>9</v>
      </c>
      <c r="B23" s="71">
        <f t="shared" si="4"/>
        <v>731366.65686608106</v>
      </c>
      <c r="C23" s="69">
        <f t="shared" si="0"/>
        <v>4723.4096589267738</v>
      </c>
      <c r="D23" s="71">
        <f t="shared" si="1"/>
        <v>-1570.9671724350442</v>
      </c>
      <c r="E23" s="71">
        <f t="shared" si="2"/>
        <v>3152.4424864917296</v>
      </c>
      <c r="F23" s="71">
        <f t="shared" si="3"/>
        <v>728214.21437958931</v>
      </c>
    </row>
    <row r="24" spans="1:6" ht="15.6" x14ac:dyDescent="0.3">
      <c r="A24" s="70">
        <v>10</v>
      </c>
      <c r="B24" s="71">
        <f t="shared" si="4"/>
        <v>728214.21437958931</v>
      </c>
      <c r="C24" s="69">
        <f t="shared" si="0"/>
        <v>4703.0501345348475</v>
      </c>
      <c r="D24" s="71">
        <f t="shared" si="1"/>
        <v>-1550.6076480431179</v>
      </c>
      <c r="E24" s="71">
        <f t="shared" si="2"/>
        <v>3152.4424864917296</v>
      </c>
      <c r="F24" s="71">
        <f t="shared" si="3"/>
        <v>725061.77189309755</v>
      </c>
    </row>
    <row r="25" spans="1:6" ht="15.6" x14ac:dyDescent="0.3">
      <c r="A25" s="70">
        <v>11</v>
      </c>
      <c r="B25" s="71">
        <f t="shared" si="4"/>
        <v>725061.77189309755</v>
      </c>
      <c r="C25" s="69">
        <f t="shared" si="0"/>
        <v>4682.6906101429213</v>
      </c>
      <c r="D25" s="71">
        <f t="shared" si="1"/>
        <v>-1530.2481236511917</v>
      </c>
      <c r="E25" s="71">
        <f t="shared" si="2"/>
        <v>3152.4424864917296</v>
      </c>
      <c r="F25" s="71">
        <f t="shared" si="3"/>
        <v>721909.3294066058</v>
      </c>
    </row>
    <row r="26" spans="1:6" ht="15.6" x14ac:dyDescent="0.3">
      <c r="A26" s="70">
        <v>12</v>
      </c>
      <c r="B26" s="71">
        <f t="shared" si="4"/>
        <v>721909.3294066058</v>
      </c>
      <c r="C26" s="69">
        <f t="shared" si="0"/>
        <v>4662.331085750996</v>
      </c>
      <c r="D26" s="71">
        <f t="shared" si="1"/>
        <v>-1509.8885992592664</v>
      </c>
      <c r="E26" s="71">
        <f t="shared" si="2"/>
        <v>3152.4424864917296</v>
      </c>
      <c r="F26" s="71">
        <f t="shared" si="3"/>
        <v>718756.88692011405</v>
      </c>
    </row>
    <row r="27" spans="1:6" ht="15.6" x14ac:dyDescent="0.3">
      <c r="A27" s="70">
        <v>13</v>
      </c>
      <c r="B27" s="71">
        <f t="shared" si="4"/>
        <v>718756.88692011405</v>
      </c>
      <c r="C27" s="69">
        <f t="shared" si="0"/>
        <v>4641.9715613590697</v>
      </c>
      <c r="D27" s="71">
        <f t="shared" si="1"/>
        <v>-1489.5290748673401</v>
      </c>
      <c r="E27" s="71">
        <f t="shared" si="2"/>
        <v>3152.4424864917296</v>
      </c>
      <c r="F27" s="71">
        <f t="shared" si="3"/>
        <v>715604.4444336223</v>
      </c>
    </row>
    <row r="28" spans="1:6" ht="15.6" x14ac:dyDescent="0.3">
      <c r="A28" s="70">
        <v>14</v>
      </c>
      <c r="B28" s="71">
        <f t="shared" si="4"/>
        <v>715604.4444336223</v>
      </c>
      <c r="C28" s="69">
        <f t="shared" si="0"/>
        <v>4621.6120369671444</v>
      </c>
      <c r="D28" s="71">
        <f t="shared" si="1"/>
        <v>-1469.1695504754148</v>
      </c>
      <c r="E28" s="71">
        <f t="shared" si="2"/>
        <v>3152.4424864917296</v>
      </c>
      <c r="F28" s="71">
        <f t="shared" si="3"/>
        <v>712452.00194713054</v>
      </c>
    </row>
    <row r="29" spans="1:6" ht="15.6" x14ac:dyDescent="0.3">
      <c r="A29" s="70">
        <v>15</v>
      </c>
      <c r="B29" s="71">
        <f t="shared" si="4"/>
        <v>712452.00194713054</v>
      </c>
      <c r="C29" s="69">
        <f t="shared" si="0"/>
        <v>4601.2525125752181</v>
      </c>
      <c r="D29" s="71">
        <f t="shared" si="1"/>
        <v>-1448.8100260834885</v>
      </c>
      <c r="E29" s="71">
        <f t="shared" si="2"/>
        <v>3152.4424864917296</v>
      </c>
      <c r="F29" s="71">
        <f t="shared" si="3"/>
        <v>709299.55946063879</v>
      </c>
    </row>
    <row r="30" spans="1:6" ht="15.6" x14ac:dyDescent="0.3">
      <c r="A30" s="70">
        <v>16</v>
      </c>
      <c r="B30" s="71">
        <f t="shared" si="4"/>
        <v>709299.55946063879</v>
      </c>
      <c r="C30" s="69">
        <f t="shared" si="0"/>
        <v>4580.8929881832919</v>
      </c>
      <c r="D30" s="71">
        <f t="shared" si="1"/>
        <v>-1428.4505016915623</v>
      </c>
      <c r="E30" s="71">
        <f t="shared" si="2"/>
        <v>3152.4424864917296</v>
      </c>
      <c r="F30" s="71">
        <f t="shared" si="3"/>
        <v>706147.11697414704</v>
      </c>
    </row>
    <row r="31" spans="1:6" ht="15.6" x14ac:dyDescent="0.3">
      <c r="A31" s="70">
        <v>17</v>
      </c>
      <c r="B31" s="71">
        <f t="shared" si="4"/>
        <v>706147.11697414704</v>
      </c>
      <c r="C31" s="69">
        <f t="shared" si="0"/>
        <v>4560.5334637913666</v>
      </c>
      <c r="D31" s="71">
        <f t="shared" si="1"/>
        <v>-1408.090977299637</v>
      </c>
      <c r="E31" s="71">
        <f t="shared" si="2"/>
        <v>3152.4424864917296</v>
      </c>
      <c r="F31" s="71">
        <f t="shared" si="3"/>
        <v>702994.67448765528</v>
      </c>
    </row>
    <row r="32" spans="1:6" ht="15.6" x14ac:dyDescent="0.3">
      <c r="A32" s="70">
        <v>18</v>
      </c>
      <c r="B32" s="71">
        <f t="shared" si="4"/>
        <v>702994.67448765528</v>
      </c>
      <c r="C32" s="69">
        <f t="shared" si="0"/>
        <v>4540.1739393994403</v>
      </c>
      <c r="D32" s="71">
        <f t="shared" si="1"/>
        <v>-1387.7314529077107</v>
      </c>
      <c r="E32" s="71">
        <f t="shared" si="2"/>
        <v>3152.4424864917296</v>
      </c>
      <c r="F32" s="71">
        <f t="shared" si="3"/>
        <v>699842.23200116353</v>
      </c>
    </row>
    <row r="33" spans="1:6" ht="15.6" x14ac:dyDescent="0.3">
      <c r="A33" s="70">
        <v>19</v>
      </c>
      <c r="B33" s="71">
        <f t="shared" si="4"/>
        <v>699842.23200116353</v>
      </c>
      <c r="C33" s="69">
        <f t="shared" si="0"/>
        <v>4519.8144150075141</v>
      </c>
      <c r="D33" s="71">
        <f t="shared" si="1"/>
        <v>-1367.3719285157845</v>
      </c>
      <c r="E33" s="71">
        <f t="shared" si="2"/>
        <v>3152.4424864917296</v>
      </c>
      <c r="F33" s="71">
        <f t="shared" si="3"/>
        <v>696689.78951467178</v>
      </c>
    </row>
    <row r="34" spans="1:6" ht="15.6" x14ac:dyDescent="0.3">
      <c r="A34" s="70">
        <v>20</v>
      </c>
      <c r="B34" s="71">
        <f t="shared" si="4"/>
        <v>696689.78951467178</v>
      </c>
      <c r="C34" s="69">
        <f t="shared" si="0"/>
        <v>4499.4548906155887</v>
      </c>
      <c r="D34" s="71">
        <f t="shared" si="1"/>
        <v>-1347.0124041238591</v>
      </c>
      <c r="E34" s="71">
        <f t="shared" si="2"/>
        <v>3152.4424864917296</v>
      </c>
      <c r="F34" s="71">
        <f t="shared" si="3"/>
        <v>693537.34702818003</v>
      </c>
    </row>
    <row r="35" spans="1:6" ht="15.6" x14ac:dyDescent="0.3">
      <c r="A35" s="70">
        <v>21</v>
      </c>
      <c r="B35" s="71">
        <f t="shared" si="4"/>
        <v>693537.34702818003</v>
      </c>
      <c r="C35" s="69">
        <f t="shared" si="0"/>
        <v>4479.0953662236625</v>
      </c>
      <c r="D35" s="71">
        <f t="shared" si="1"/>
        <v>-1326.6528797319329</v>
      </c>
      <c r="E35" s="71">
        <f t="shared" si="2"/>
        <v>3152.4424864917296</v>
      </c>
      <c r="F35" s="71">
        <f t="shared" si="3"/>
        <v>690384.90454168827</v>
      </c>
    </row>
    <row r="36" spans="1:6" ht="15.6" x14ac:dyDescent="0.3">
      <c r="A36" s="70">
        <v>22</v>
      </c>
      <c r="B36" s="71">
        <f t="shared" si="4"/>
        <v>690384.90454168827</v>
      </c>
      <c r="C36" s="69">
        <f t="shared" si="0"/>
        <v>4458.7358418317372</v>
      </c>
      <c r="D36" s="71">
        <f t="shared" si="1"/>
        <v>-1306.2933553400076</v>
      </c>
      <c r="E36" s="71">
        <f t="shared" si="2"/>
        <v>3152.4424864917296</v>
      </c>
      <c r="F36" s="71">
        <f t="shared" si="3"/>
        <v>687232.46205519652</v>
      </c>
    </row>
    <row r="37" spans="1:6" ht="15.6" x14ac:dyDescent="0.3">
      <c r="A37" s="70">
        <v>23</v>
      </c>
      <c r="B37" s="71">
        <f t="shared" si="4"/>
        <v>687232.46205519652</v>
      </c>
      <c r="C37" s="69">
        <f t="shared" si="0"/>
        <v>4438.3763174398109</v>
      </c>
      <c r="D37" s="71">
        <f t="shared" si="1"/>
        <v>-1285.9338309480813</v>
      </c>
      <c r="E37" s="71">
        <f t="shared" si="2"/>
        <v>3152.4424864917296</v>
      </c>
      <c r="F37" s="71">
        <f t="shared" si="3"/>
        <v>684080.01956870477</v>
      </c>
    </row>
    <row r="38" spans="1:6" ht="15.6" x14ac:dyDescent="0.3">
      <c r="A38" s="70">
        <v>24</v>
      </c>
      <c r="B38" s="71">
        <f t="shared" si="4"/>
        <v>684080.01956870477</v>
      </c>
      <c r="C38" s="69">
        <f t="shared" si="0"/>
        <v>4418.0167930478847</v>
      </c>
      <c r="D38" s="71">
        <f t="shared" si="1"/>
        <v>-1265.5743065561551</v>
      </c>
      <c r="E38" s="71">
        <f t="shared" si="2"/>
        <v>3152.4424864917296</v>
      </c>
      <c r="F38" s="71">
        <f t="shared" si="3"/>
        <v>680927.57708221301</v>
      </c>
    </row>
    <row r="39" spans="1:6" ht="15.6" x14ac:dyDescent="0.3">
      <c r="A39" s="70">
        <v>25</v>
      </c>
      <c r="B39" s="71">
        <f t="shared" si="4"/>
        <v>680927.57708221301</v>
      </c>
      <c r="C39" s="69">
        <f t="shared" si="0"/>
        <v>4397.6572686559593</v>
      </c>
      <c r="D39" s="71">
        <f t="shared" si="1"/>
        <v>-1245.2147821642297</v>
      </c>
      <c r="E39" s="71">
        <f t="shared" si="2"/>
        <v>3152.4424864917296</v>
      </c>
      <c r="F39" s="71">
        <f t="shared" si="3"/>
        <v>677775.13459572126</v>
      </c>
    </row>
    <row r="40" spans="1:6" ht="15.6" x14ac:dyDescent="0.3">
      <c r="A40" s="70">
        <v>26</v>
      </c>
      <c r="B40" s="71">
        <f t="shared" si="4"/>
        <v>677775.13459572126</v>
      </c>
      <c r="C40" s="69">
        <f t="shared" si="0"/>
        <v>4377.2977442640331</v>
      </c>
      <c r="D40" s="71">
        <f t="shared" si="1"/>
        <v>-1224.8552577723035</v>
      </c>
      <c r="E40" s="71">
        <f t="shared" si="2"/>
        <v>3152.4424864917296</v>
      </c>
      <c r="F40" s="71">
        <f t="shared" si="3"/>
        <v>674622.69210922951</v>
      </c>
    </row>
    <row r="41" spans="1:6" ht="15.6" x14ac:dyDescent="0.3">
      <c r="A41" s="70">
        <v>27</v>
      </c>
      <c r="B41" s="71">
        <f t="shared" si="4"/>
        <v>674622.69210922951</v>
      </c>
      <c r="C41" s="69">
        <f t="shared" si="0"/>
        <v>4356.9382198721069</v>
      </c>
      <c r="D41" s="71">
        <f t="shared" si="1"/>
        <v>-1204.4957333803773</v>
      </c>
      <c r="E41" s="71">
        <f t="shared" si="2"/>
        <v>3152.4424864917296</v>
      </c>
      <c r="F41" s="71">
        <f t="shared" si="3"/>
        <v>671470.24962273776</v>
      </c>
    </row>
    <row r="42" spans="1:6" ht="15.6" x14ac:dyDescent="0.3">
      <c r="A42" s="70">
        <v>28</v>
      </c>
      <c r="B42" s="71">
        <f t="shared" si="4"/>
        <v>671470.24962273776</v>
      </c>
      <c r="C42" s="69">
        <f t="shared" si="0"/>
        <v>4336.5786954801815</v>
      </c>
      <c r="D42" s="71">
        <f t="shared" si="1"/>
        <v>-1184.1362089884519</v>
      </c>
      <c r="E42" s="71">
        <f t="shared" si="2"/>
        <v>3152.4424864917296</v>
      </c>
      <c r="F42" s="71">
        <f t="shared" si="3"/>
        <v>668317.807136246</v>
      </c>
    </row>
    <row r="43" spans="1:6" ht="15.6" x14ac:dyDescent="0.3">
      <c r="A43" s="70">
        <v>29</v>
      </c>
      <c r="B43" s="71">
        <f t="shared" si="4"/>
        <v>668317.807136246</v>
      </c>
      <c r="C43" s="69">
        <f t="shared" si="0"/>
        <v>4316.2191710882553</v>
      </c>
      <c r="D43" s="71">
        <f t="shared" si="1"/>
        <v>-1163.7766845965257</v>
      </c>
      <c r="E43" s="71">
        <f t="shared" si="2"/>
        <v>3152.4424864917296</v>
      </c>
      <c r="F43" s="71">
        <f t="shared" si="3"/>
        <v>665165.36464975425</v>
      </c>
    </row>
    <row r="44" spans="1:6" ht="15.6" x14ac:dyDescent="0.3">
      <c r="A44" s="70">
        <v>30</v>
      </c>
      <c r="B44" s="71">
        <f t="shared" si="4"/>
        <v>665165.36464975425</v>
      </c>
      <c r="C44" s="69">
        <f t="shared" si="0"/>
        <v>4295.8596466963299</v>
      </c>
      <c r="D44" s="71">
        <f t="shared" si="1"/>
        <v>-1143.4171602046003</v>
      </c>
      <c r="E44" s="71">
        <f t="shared" si="2"/>
        <v>3152.4424864917296</v>
      </c>
      <c r="F44" s="71">
        <f t="shared" si="3"/>
        <v>662012.9221632625</v>
      </c>
    </row>
    <row r="45" spans="1:6" ht="15.6" x14ac:dyDescent="0.3">
      <c r="A45" s="70">
        <v>31</v>
      </c>
      <c r="B45" s="71">
        <f t="shared" si="4"/>
        <v>662012.9221632625</v>
      </c>
      <c r="C45" s="69">
        <f t="shared" si="0"/>
        <v>4275.5001223044037</v>
      </c>
      <c r="D45" s="71">
        <f t="shared" si="1"/>
        <v>-1123.0576358126741</v>
      </c>
      <c r="E45" s="71">
        <f t="shared" si="2"/>
        <v>3152.4424864917296</v>
      </c>
      <c r="F45" s="71">
        <f t="shared" si="3"/>
        <v>658860.47967677074</v>
      </c>
    </row>
    <row r="46" spans="1:6" ht="15.6" x14ac:dyDescent="0.3">
      <c r="A46" s="70">
        <v>32</v>
      </c>
      <c r="B46" s="71">
        <f t="shared" si="4"/>
        <v>658860.47967677074</v>
      </c>
      <c r="C46" s="69">
        <f t="shared" si="0"/>
        <v>4255.1405979124775</v>
      </c>
      <c r="D46" s="71">
        <f t="shared" si="1"/>
        <v>-1102.6981114207479</v>
      </c>
      <c r="E46" s="71">
        <f t="shared" si="2"/>
        <v>3152.4424864917296</v>
      </c>
      <c r="F46" s="71">
        <f t="shared" si="3"/>
        <v>655708.03719027899</v>
      </c>
    </row>
    <row r="47" spans="1:6" ht="15.6" x14ac:dyDescent="0.3">
      <c r="A47" s="70">
        <v>33</v>
      </c>
      <c r="B47" s="71">
        <f t="shared" si="4"/>
        <v>655708.03719027899</v>
      </c>
      <c r="C47" s="69">
        <f t="shared" ref="C47:C110" si="5">B47*(Rate/12)</f>
        <v>4234.7810735205521</v>
      </c>
      <c r="D47" s="71">
        <f t="shared" ref="D47:D110" si="6">Payment-C47</f>
        <v>-1082.3385870288225</v>
      </c>
      <c r="E47" s="71">
        <f t="shared" si="2"/>
        <v>3152.4424864917296</v>
      </c>
      <c r="F47" s="71">
        <f t="shared" si="3"/>
        <v>652555.59470378724</v>
      </c>
    </row>
    <row r="48" spans="1:6" ht="15.6" x14ac:dyDescent="0.3">
      <c r="A48" s="70">
        <v>34</v>
      </c>
      <c r="B48" s="71">
        <f t="shared" si="4"/>
        <v>652555.59470378724</v>
      </c>
      <c r="C48" s="69">
        <f t="shared" si="5"/>
        <v>4214.4215491286259</v>
      </c>
      <c r="D48" s="71">
        <f t="shared" si="6"/>
        <v>-1061.9790626368963</v>
      </c>
      <c r="E48" s="71">
        <f t="shared" si="2"/>
        <v>3152.4424864917296</v>
      </c>
      <c r="F48" s="71">
        <f t="shared" si="3"/>
        <v>649403.15221729549</v>
      </c>
    </row>
    <row r="49" spans="1:6" ht="15.6" x14ac:dyDescent="0.3">
      <c r="A49" s="70">
        <v>35</v>
      </c>
      <c r="B49" s="71">
        <f t="shared" si="4"/>
        <v>649403.15221729549</v>
      </c>
      <c r="C49" s="69">
        <f t="shared" si="5"/>
        <v>4194.0620247366996</v>
      </c>
      <c r="D49" s="71">
        <f t="shared" si="6"/>
        <v>-1041.61953824497</v>
      </c>
      <c r="E49" s="71">
        <f t="shared" si="2"/>
        <v>3152.4424864917296</v>
      </c>
      <c r="F49" s="71">
        <f t="shared" si="3"/>
        <v>646250.70973080373</v>
      </c>
    </row>
    <row r="50" spans="1:6" ht="15.6" x14ac:dyDescent="0.3">
      <c r="A50" s="70">
        <v>36</v>
      </c>
      <c r="B50" s="71">
        <f t="shared" si="4"/>
        <v>646250.70973080373</v>
      </c>
      <c r="C50" s="69">
        <f t="shared" si="5"/>
        <v>4173.7025003447743</v>
      </c>
      <c r="D50" s="71">
        <f t="shared" si="6"/>
        <v>-1021.2600138530447</v>
      </c>
      <c r="E50" s="71">
        <f t="shared" si="2"/>
        <v>3152.4424864917296</v>
      </c>
      <c r="F50" s="71">
        <f t="shared" si="3"/>
        <v>643098.26724431198</v>
      </c>
    </row>
    <row r="51" spans="1:6" ht="15.6" x14ac:dyDescent="0.3">
      <c r="A51" s="70">
        <v>37</v>
      </c>
      <c r="B51" s="71">
        <f t="shared" si="4"/>
        <v>643098.26724431198</v>
      </c>
      <c r="C51" s="69">
        <f t="shared" si="5"/>
        <v>4153.3429759528481</v>
      </c>
      <c r="D51" s="71">
        <f t="shared" si="6"/>
        <v>-1000.9004894611185</v>
      </c>
      <c r="E51" s="71">
        <f t="shared" si="2"/>
        <v>3152.4424864917296</v>
      </c>
      <c r="F51" s="71">
        <f t="shared" si="3"/>
        <v>639945.82475782023</v>
      </c>
    </row>
    <row r="52" spans="1:6" ht="15.6" x14ac:dyDescent="0.3">
      <c r="A52" s="70">
        <v>38</v>
      </c>
      <c r="B52" s="71">
        <f t="shared" si="4"/>
        <v>639945.82475782023</v>
      </c>
      <c r="C52" s="69">
        <f t="shared" si="5"/>
        <v>4132.9834515609227</v>
      </c>
      <c r="D52" s="71">
        <f t="shared" si="6"/>
        <v>-980.54096506919313</v>
      </c>
      <c r="E52" s="71">
        <f t="shared" si="2"/>
        <v>3152.4424864917296</v>
      </c>
      <c r="F52" s="71">
        <f t="shared" si="3"/>
        <v>636793.38227132848</v>
      </c>
    </row>
    <row r="53" spans="1:6" ht="15.6" x14ac:dyDescent="0.3">
      <c r="A53" s="70">
        <v>39</v>
      </c>
      <c r="B53" s="71">
        <f t="shared" si="4"/>
        <v>636793.38227132848</v>
      </c>
      <c r="C53" s="69">
        <f t="shared" si="5"/>
        <v>4112.6239271689965</v>
      </c>
      <c r="D53" s="71">
        <f t="shared" si="6"/>
        <v>-960.18144067726689</v>
      </c>
      <c r="E53" s="71">
        <f t="shared" si="2"/>
        <v>3152.4424864917296</v>
      </c>
      <c r="F53" s="71">
        <f t="shared" si="3"/>
        <v>633640.93978483672</v>
      </c>
    </row>
    <row r="54" spans="1:6" ht="15.6" x14ac:dyDescent="0.3">
      <c r="A54" s="70">
        <v>40</v>
      </c>
      <c r="B54" s="71">
        <f t="shared" si="4"/>
        <v>633640.93978483672</v>
      </c>
      <c r="C54" s="69">
        <f t="shared" si="5"/>
        <v>4092.2644027770702</v>
      </c>
      <c r="D54" s="71">
        <f t="shared" si="6"/>
        <v>-939.82191628534065</v>
      </c>
      <c r="E54" s="71">
        <f t="shared" si="2"/>
        <v>3152.4424864917296</v>
      </c>
      <c r="F54" s="71">
        <f t="shared" si="3"/>
        <v>630488.49729834497</v>
      </c>
    </row>
    <row r="55" spans="1:6" ht="15.6" x14ac:dyDescent="0.3">
      <c r="A55" s="70">
        <v>41</v>
      </c>
      <c r="B55" s="71">
        <f t="shared" si="4"/>
        <v>630488.49729834497</v>
      </c>
      <c r="C55" s="69">
        <f t="shared" si="5"/>
        <v>4071.9048783851445</v>
      </c>
      <c r="D55" s="71">
        <f t="shared" si="6"/>
        <v>-919.46239189341486</v>
      </c>
      <c r="E55" s="71">
        <f t="shared" si="2"/>
        <v>3152.4424864917296</v>
      </c>
      <c r="F55" s="71">
        <f t="shared" si="3"/>
        <v>627336.05481185322</v>
      </c>
    </row>
    <row r="56" spans="1:6" ht="15.6" x14ac:dyDescent="0.3">
      <c r="A56" s="70">
        <v>42</v>
      </c>
      <c r="B56" s="71">
        <f t="shared" si="4"/>
        <v>627336.05481185322</v>
      </c>
      <c r="C56" s="69">
        <f t="shared" si="5"/>
        <v>4051.5453539932187</v>
      </c>
      <c r="D56" s="71">
        <f t="shared" si="6"/>
        <v>-899.10286750148907</v>
      </c>
      <c r="E56" s="71">
        <f t="shared" si="2"/>
        <v>3152.4424864917296</v>
      </c>
      <c r="F56" s="71">
        <f t="shared" si="3"/>
        <v>624183.61232536146</v>
      </c>
    </row>
    <row r="57" spans="1:6" ht="15.6" x14ac:dyDescent="0.3">
      <c r="A57" s="70">
        <v>43</v>
      </c>
      <c r="B57" s="71">
        <f t="shared" si="4"/>
        <v>624183.61232536146</v>
      </c>
      <c r="C57" s="69">
        <f t="shared" si="5"/>
        <v>4031.1858296012929</v>
      </c>
      <c r="D57" s="71">
        <f t="shared" si="6"/>
        <v>-878.74334310956328</v>
      </c>
      <c r="E57" s="71">
        <f t="shared" si="2"/>
        <v>3152.4424864917296</v>
      </c>
      <c r="F57" s="71">
        <f t="shared" si="3"/>
        <v>621031.16983886971</v>
      </c>
    </row>
    <row r="58" spans="1:6" ht="15.6" x14ac:dyDescent="0.3">
      <c r="A58" s="70">
        <v>44</v>
      </c>
      <c r="B58" s="71">
        <f t="shared" si="4"/>
        <v>621031.16983886971</v>
      </c>
      <c r="C58" s="69">
        <f t="shared" si="5"/>
        <v>4010.8263052093666</v>
      </c>
      <c r="D58" s="71">
        <f t="shared" si="6"/>
        <v>-858.38381871763704</v>
      </c>
      <c r="E58" s="71">
        <f t="shared" si="2"/>
        <v>3152.4424864917296</v>
      </c>
      <c r="F58" s="71">
        <f t="shared" si="3"/>
        <v>617878.72735237796</v>
      </c>
    </row>
    <row r="59" spans="1:6" ht="15.6" x14ac:dyDescent="0.3">
      <c r="A59" s="70">
        <v>45</v>
      </c>
      <c r="B59" s="71">
        <f t="shared" si="4"/>
        <v>617878.72735237796</v>
      </c>
      <c r="C59" s="69">
        <f t="shared" si="5"/>
        <v>3990.4667808174408</v>
      </c>
      <c r="D59" s="71">
        <f t="shared" si="6"/>
        <v>-838.02429432571125</v>
      </c>
      <c r="E59" s="71">
        <f t="shared" si="2"/>
        <v>3152.4424864917296</v>
      </c>
      <c r="F59" s="71">
        <f t="shared" si="3"/>
        <v>614726.28486588621</v>
      </c>
    </row>
    <row r="60" spans="1:6" ht="15.6" x14ac:dyDescent="0.3">
      <c r="A60" s="70">
        <v>46</v>
      </c>
      <c r="B60" s="71">
        <f t="shared" si="4"/>
        <v>614726.28486588621</v>
      </c>
      <c r="C60" s="69">
        <f t="shared" si="5"/>
        <v>3970.1072564255151</v>
      </c>
      <c r="D60" s="71">
        <f t="shared" si="6"/>
        <v>-817.66476993378546</v>
      </c>
      <c r="E60" s="71">
        <f t="shared" si="2"/>
        <v>3152.4424864917296</v>
      </c>
      <c r="F60" s="71">
        <f t="shared" si="3"/>
        <v>611573.84237939445</v>
      </c>
    </row>
    <row r="61" spans="1:6" ht="15.6" x14ac:dyDescent="0.3">
      <c r="A61" s="70">
        <v>47</v>
      </c>
      <c r="B61" s="71">
        <f t="shared" si="4"/>
        <v>611573.84237939445</v>
      </c>
      <c r="C61" s="69">
        <f t="shared" si="5"/>
        <v>3949.7477320335893</v>
      </c>
      <c r="D61" s="71">
        <f t="shared" si="6"/>
        <v>-797.30524554185968</v>
      </c>
      <c r="E61" s="71">
        <f t="shared" si="2"/>
        <v>3152.4424864917296</v>
      </c>
      <c r="F61" s="71">
        <f t="shared" si="3"/>
        <v>608421.3998929027</v>
      </c>
    </row>
    <row r="62" spans="1:6" ht="15.6" x14ac:dyDescent="0.3">
      <c r="A62" s="70">
        <v>48</v>
      </c>
      <c r="B62" s="71">
        <f t="shared" si="4"/>
        <v>608421.3998929027</v>
      </c>
      <c r="C62" s="69">
        <f t="shared" si="5"/>
        <v>3929.388207641663</v>
      </c>
      <c r="D62" s="71">
        <f t="shared" si="6"/>
        <v>-776.94572114993343</v>
      </c>
      <c r="E62" s="71">
        <f t="shared" si="2"/>
        <v>3152.4424864917296</v>
      </c>
      <c r="F62" s="71">
        <f t="shared" si="3"/>
        <v>605268.95740641095</v>
      </c>
    </row>
    <row r="63" spans="1:6" ht="15.6" x14ac:dyDescent="0.3">
      <c r="A63" s="70">
        <v>49</v>
      </c>
      <c r="B63" s="71">
        <f t="shared" si="4"/>
        <v>605268.95740641095</v>
      </c>
      <c r="C63" s="69">
        <f t="shared" si="5"/>
        <v>3909.0286832497372</v>
      </c>
      <c r="D63" s="71">
        <f t="shared" si="6"/>
        <v>-756.58619675800765</v>
      </c>
      <c r="E63" s="71">
        <f t="shared" si="2"/>
        <v>3152.4424864917296</v>
      </c>
      <c r="F63" s="71">
        <f t="shared" si="3"/>
        <v>602116.51491991919</v>
      </c>
    </row>
    <row r="64" spans="1:6" ht="15.6" x14ac:dyDescent="0.3">
      <c r="A64" s="70">
        <v>50</v>
      </c>
      <c r="B64" s="71">
        <f t="shared" si="4"/>
        <v>602116.51491991919</v>
      </c>
      <c r="C64" s="69">
        <f t="shared" si="5"/>
        <v>3888.6691588578115</v>
      </c>
      <c r="D64" s="71">
        <f t="shared" si="6"/>
        <v>-736.22667236608186</v>
      </c>
      <c r="E64" s="71">
        <f t="shared" si="2"/>
        <v>3152.4424864917296</v>
      </c>
      <c r="F64" s="71">
        <f t="shared" si="3"/>
        <v>598964.07243342744</v>
      </c>
    </row>
    <row r="65" spans="1:6" ht="15.6" x14ac:dyDescent="0.3">
      <c r="A65" s="70">
        <v>51</v>
      </c>
      <c r="B65" s="71">
        <f t="shared" si="4"/>
        <v>598964.07243342744</v>
      </c>
      <c r="C65" s="69">
        <f t="shared" si="5"/>
        <v>3868.3096344658857</v>
      </c>
      <c r="D65" s="71">
        <f t="shared" si="6"/>
        <v>-715.86714797415607</v>
      </c>
      <c r="E65" s="71">
        <f t="shared" si="2"/>
        <v>3152.4424864917296</v>
      </c>
      <c r="F65" s="71">
        <f t="shared" si="3"/>
        <v>595811.62994693569</v>
      </c>
    </row>
    <row r="66" spans="1:6" ht="15.6" x14ac:dyDescent="0.3">
      <c r="A66" s="70">
        <v>52</v>
      </c>
      <c r="B66" s="71">
        <f t="shared" si="4"/>
        <v>595811.62994693569</v>
      </c>
      <c r="C66" s="69">
        <f t="shared" si="5"/>
        <v>3847.9501100739594</v>
      </c>
      <c r="D66" s="71">
        <f t="shared" si="6"/>
        <v>-695.50762358222983</v>
      </c>
      <c r="E66" s="71">
        <f t="shared" si="2"/>
        <v>3152.4424864917296</v>
      </c>
      <c r="F66" s="71">
        <f t="shared" si="3"/>
        <v>592659.18746044394</v>
      </c>
    </row>
    <row r="67" spans="1:6" ht="15.6" x14ac:dyDescent="0.3">
      <c r="A67" s="70">
        <v>53</v>
      </c>
      <c r="B67" s="71">
        <f t="shared" si="4"/>
        <v>592659.18746044394</v>
      </c>
      <c r="C67" s="69">
        <f t="shared" si="5"/>
        <v>3827.5905856820336</v>
      </c>
      <c r="D67" s="71">
        <f t="shared" si="6"/>
        <v>-675.14809919030404</v>
      </c>
      <c r="E67" s="71">
        <f t="shared" si="2"/>
        <v>3152.4424864917296</v>
      </c>
      <c r="F67" s="71">
        <f t="shared" si="3"/>
        <v>589506.74497395218</v>
      </c>
    </row>
    <row r="68" spans="1:6" ht="15.6" x14ac:dyDescent="0.3">
      <c r="A68" s="70">
        <v>54</v>
      </c>
      <c r="B68" s="71">
        <f t="shared" si="4"/>
        <v>589506.74497395218</v>
      </c>
      <c r="C68" s="69">
        <f t="shared" si="5"/>
        <v>3807.2310612901078</v>
      </c>
      <c r="D68" s="71">
        <f t="shared" si="6"/>
        <v>-654.78857479837825</v>
      </c>
      <c r="E68" s="71">
        <f t="shared" si="2"/>
        <v>3152.4424864917296</v>
      </c>
      <c r="F68" s="71">
        <f t="shared" si="3"/>
        <v>586354.30248746043</v>
      </c>
    </row>
    <row r="69" spans="1:6" ht="15.6" x14ac:dyDescent="0.3">
      <c r="A69" s="70">
        <v>55</v>
      </c>
      <c r="B69" s="71">
        <f t="shared" si="4"/>
        <v>586354.30248746043</v>
      </c>
      <c r="C69" s="69">
        <f t="shared" si="5"/>
        <v>3786.8715368981821</v>
      </c>
      <c r="D69" s="71">
        <f t="shared" si="6"/>
        <v>-634.42905040645246</v>
      </c>
      <c r="E69" s="71">
        <f t="shared" si="2"/>
        <v>3152.4424864917296</v>
      </c>
      <c r="F69" s="71">
        <f t="shared" si="3"/>
        <v>583201.86000096868</v>
      </c>
    </row>
    <row r="70" spans="1:6" ht="15.6" x14ac:dyDescent="0.3">
      <c r="A70" s="70">
        <v>56</v>
      </c>
      <c r="B70" s="71">
        <f t="shared" si="4"/>
        <v>583201.86000096868</v>
      </c>
      <c r="C70" s="69">
        <f t="shared" si="5"/>
        <v>3766.5120125062558</v>
      </c>
      <c r="D70" s="71">
        <f t="shared" si="6"/>
        <v>-614.06952601452622</v>
      </c>
      <c r="E70" s="71">
        <f t="shared" si="2"/>
        <v>3152.4424864917296</v>
      </c>
      <c r="F70" s="71">
        <f t="shared" si="3"/>
        <v>580049.41751447693</v>
      </c>
    </row>
    <row r="71" spans="1:6" ht="15.6" x14ac:dyDescent="0.3">
      <c r="A71" s="70">
        <v>57</v>
      </c>
      <c r="B71" s="71">
        <f t="shared" si="4"/>
        <v>580049.41751447693</v>
      </c>
      <c r="C71" s="69">
        <f t="shared" si="5"/>
        <v>3746.15248811433</v>
      </c>
      <c r="D71" s="71">
        <f t="shared" si="6"/>
        <v>-593.71000162260043</v>
      </c>
      <c r="E71" s="71">
        <f t="shared" si="2"/>
        <v>3152.4424864917296</v>
      </c>
      <c r="F71" s="71">
        <f t="shared" si="3"/>
        <v>576896.97502798517</v>
      </c>
    </row>
    <row r="72" spans="1:6" ht="15.6" x14ac:dyDescent="0.3">
      <c r="A72" s="70">
        <v>58</v>
      </c>
      <c r="B72" s="71">
        <f t="shared" si="4"/>
        <v>576896.97502798517</v>
      </c>
      <c r="C72" s="69">
        <f t="shared" si="5"/>
        <v>3725.7929637224042</v>
      </c>
      <c r="D72" s="71">
        <f t="shared" si="6"/>
        <v>-573.35047723067464</v>
      </c>
      <c r="E72" s="71">
        <f t="shared" si="2"/>
        <v>3152.4424864917296</v>
      </c>
      <c r="F72" s="71">
        <f t="shared" si="3"/>
        <v>573744.53254149342</v>
      </c>
    </row>
    <row r="73" spans="1:6" ht="15.6" x14ac:dyDescent="0.3">
      <c r="A73" s="70">
        <v>59</v>
      </c>
      <c r="B73" s="71">
        <f t="shared" si="4"/>
        <v>573744.53254149342</v>
      </c>
      <c r="C73" s="69">
        <f t="shared" si="5"/>
        <v>3705.4334393304784</v>
      </c>
      <c r="D73" s="71">
        <f t="shared" si="6"/>
        <v>-552.99095283874885</v>
      </c>
      <c r="E73" s="71">
        <f t="shared" si="2"/>
        <v>3152.4424864917296</v>
      </c>
      <c r="F73" s="71">
        <f t="shared" si="3"/>
        <v>570592.09005500167</v>
      </c>
    </row>
    <row r="74" spans="1:6" ht="15.6" x14ac:dyDescent="0.3">
      <c r="A74" s="70">
        <v>60</v>
      </c>
      <c r="B74" s="71">
        <f t="shared" si="4"/>
        <v>570592.09005500167</v>
      </c>
      <c r="C74" s="69">
        <f t="shared" si="5"/>
        <v>3685.0739149385522</v>
      </c>
      <c r="D74" s="71">
        <f t="shared" si="6"/>
        <v>-532.63142844682261</v>
      </c>
      <c r="E74" s="71">
        <f t="shared" si="2"/>
        <v>3152.4424864917296</v>
      </c>
      <c r="F74" s="71">
        <f t="shared" si="3"/>
        <v>567439.64756850991</v>
      </c>
    </row>
    <row r="75" spans="1:6" ht="15.6" x14ac:dyDescent="0.3">
      <c r="A75" s="70">
        <v>61</v>
      </c>
      <c r="B75" s="71">
        <f t="shared" si="4"/>
        <v>567439.64756850991</v>
      </c>
      <c r="C75" s="69">
        <f t="shared" si="5"/>
        <v>3664.7143905466264</v>
      </c>
      <c r="D75" s="71">
        <f t="shared" si="6"/>
        <v>-512.27190405489682</v>
      </c>
      <c r="E75" s="71">
        <f t="shared" si="2"/>
        <v>3152.4424864917296</v>
      </c>
      <c r="F75" s="71">
        <f t="shared" si="3"/>
        <v>564287.20508201816</v>
      </c>
    </row>
    <row r="76" spans="1:6" ht="15.6" x14ac:dyDescent="0.3">
      <c r="A76" s="70">
        <v>62</v>
      </c>
      <c r="B76" s="71">
        <f t="shared" si="4"/>
        <v>564287.20508201816</v>
      </c>
      <c r="C76" s="69">
        <f t="shared" si="5"/>
        <v>3644.3548661547006</v>
      </c>
      <c r="D76" s="71">
        <f t="shared" si="6"/>
        <v>-491.91237966297103</v>
      </c>
      <c r="E76" s="71">
        <f t="shared" si="2"/>
        <v>3152.4424864917296</v>
      </c>
      <c r="F76" s="71">
        <f t="shared" si="3"/>
        <v>561134.76259552641</v>
      </c>
    </row>
    <row r="77" spans="1:6" ht="15.6" x14ac:dyDescent="0.3">
      <c r="A77" s="70">
        <v>63</v>
      </c>
      <c r="B77" s="71">
        <f t="shared" si="4"/>
        <v>561134.76259552641</v>
      </c>
      <c r="C77" s="69">
        <f t="shared" si="5"/>
        <v>3623.9953417627748</v>
      </c>
      <c r="D77" s="71">
        <f t="shared" si="6"/>
        <v>-471.55285527104525</v>
      </c>
      <c r="E77" s="71">
        <f t="shared" si="2"/>
        <v>3152.4424864917296</v>
      </c>
      <c r="F77" s="71">
        <f t="shared" si="3"/>
        <v>557982.32010903466</v>
      </c>
    </row>
    <row r="78" spans="1:6" ht="15.6" x14ac:dyDescent="0.3">
      <c r="A78" s="70">
        <v>64</v>
      </c>
      <c r="B78" s="71">
        <f t="shared" si="4"/>
        <v>557982.32010903466</v>
      </c>
      <c r="C78" s="69">
        <f t="shared" si="5"/>
        <v>3603.6358173708486</v>
      </c>
      <c r="D78" s="71">
        <f t="shared" si="6"/>
        <v>-451.193330879119</v>
      </c>
      <c r="E78" s="71">
        <f t="shared" si="2"/>
        <v>3152.4424864917296</v>
      </c>
      <c r="F78" s="71">
        <f t="shared" si="3"/>
        <v>554829.8776225429</v>
      </c>
    </row>
    <row r="79" spans="1:6" ht="15.6" x14ac:dyDescent="0.3">
      <c r="A79" s="70">
        <v>65</v>
      </c>
      <c r="B79" s="71">
        <f t="shared" si="4"/>
        <v>554829.8776225429</v>
      </c>
      <c r="C79" s="69">
        <f t="shared" si="5"/>
        <v>3583.2762929789228</v>
      </c>
      <c r="D79" s="71">
        <f t="shared" si="6"/>
        <v>-430.83380648719321</v>
      </c>
      <c r="E79" s="71">
        <f t="shared" si="2"/>
        <v>3152.4424864917296</v>
      </c>
      <c r="F79" s="71">
        <f t="shared" si="3"/>
        <v>551677.43513605115</v>
      </c>
    </row>
    <row r="80" spans="1:6" ht="15.6" x14ac:dyDescent="0.3">
      <c r="A80" s="70">
        <v>66</v>
      </c>
      <c r="B80" s="71">
        <f t="shared" si="4"/>
        <v>551677.43513605115</v>
      </c>
      <c r="C80" s="69">
        <f t="shared" si="5"/>
        <v>3562.916768586997</v>
      </c>
      <c r="D80" s="71">
        <f t="shared" si="6"/>
        <v>-410.47428209526743</v>
      </c>
      <c r="E80" s="71">
        <f t="shared" ref="E80:E134" si="7">C80+D80</f>
        <v>3152.4424864917296</v>
      </c>
      <c r="F80" s="71">
        <f t="shared" ref="F80:F134" si="8">B80-E80</f>
        <v>548524.9926495594</v>
      </c>
    </row>
    <row r="81" spans="1:6" ht="15.6" x14ac:dyDescent="0.3">
      <c r="A81" s="70">
        <v>67</v>
      </c>
      <c r="B81" s="71">
        <f t="shared" ref="B81:B134" si="9">F80</f>
        <v>548524.9926495594</v>
      </c>
      <c r="C81" s="69">
        <f t="shared" si="5"/>
        <v>3542.5572441950712</v>
      </c>
      <c r="D81" s="71">
        <f t="shared" si="6"/>
        <v>-390.11475770334164</v>
      </c>
      <c r="E81" s="71">
        <f t="shared" si="7"/>
        <v>3152.4424864917296</v>
      </c>
      <c r="F81" s="71">
        <f t="shared" si="8"/>
        <v>545372.55016306764</v>
      </c>
    </row>
    <row r="82" spans="1:6" ht="15.6" x14ac:dyDescent="0.3">
      <c r="A82" s="70">
        <v>68</v>
      </c>
      <c r="B82" s="71">
        <f t="shared" si="9"/>
        <v>545372.55016306764</v>
      </c>
      <c r="C82" s="69">
        <f t="shared" si="5"/>
        <v>3522.197719803145</v>
      </c>
      <c r="D82" s="71">
        <f t="shared" si="6"/>
        <v>-369.7552333114154</v>
      </c>
      <c r="E82" s="71">
        <f t="shared" si="7"/>
        <v>3152.4424864917296</v>
      </c>
      <c r="F82" s="71">
        <f t="shared" si="8"/>
        <v>542220.10767657589</v>
      </c>
    </row>
    <row r="83" spans="1:6" ht="15.6" x14ac:dyDescent="0.3">
      <c r="A83" s="70">
        <v>69</v>
      </c>
      <c r="B83" s="71">
        <f t="shared" si="9"/>
        <v>542220.10767657589</v>
      </c>
      <c r="C83" s="69">
        <f t="shared" si="5"/>
        <v>3501.8381954112192</v>
      </c>
      <c r="D83" s="71">
        <f t="shared" si="6"/>
        <v>-349.39570891948961</v>
      </c>
      <c r="E83" s="71">
        <f t="shared" si="7"/>
        <v>3152.4424864917296</v>
      </c>
      <c r="F83" s="71">
        <f t="shared" si="8"/>
        <v>539067.66519008414</v>
      </c>
    </row>
    <row r="84" spans="1:6" ht="15.6" x14ac:dyDescent="0.3">
      <c r="A84" s="70">
        <v>70</v>
      </c>
      <c r="B84" s="71">
        <f t="shared" si="9"/>
        <v>539067.66519008414</v>
      </c>
      <c r="C84" s="69">
        <f t="shared" si="5"/>
        <v>3481.4786710192934</v>
      </c>
      <c r="D84" s="71">
        <f t="shared" si="6"/>
        <v>-329.03618452756382</v>
      </c>
      <c r="E84" s="71">
        <f t="shared" si="7"/>
        <v>3152.4424864917296</v>
      </c>
      <c r="F84" s="71">
        <f t="shared" si="8"/>
        <v>535915.22270359239</v>
      </c>
    </row>
    <row r="85" spans="1:6" ht="15.6" x14ac:dyDescent="0.3">
      <c r="A85" s="70">
        <v>71</v>
      </c>
      <c r="B85" s="71">
        <f t="shared" si="9"/>
        <v>535915.22270359239</v>
      </c>
      <c r="C85" s="69">
        <f t="shared" si="5"/>
        <v>3461.1191466273676</v>
      </c>
      <c r="D85" s="71">
        <f t="shared" si="6"/>
        <v>-308.67666013563803</v>
      </c>
      <c r="E85" s="71">
        <f t="shared" si="7"/>
        <v>3152.4424864917296</v>
      </c>
      <c r="F85" s="71">
        <f t="shared" si="8"/>
        <v>532762.78021710063</v>
      </c>
    </row>
    <row r="86" spans="1:6" ht="15.6" x14ac:dyDescent="0.3">
      <c r="A86" s="70">
        <v>72</v>
      </c>
      <c r="B86" s="71">
        <f t="shared" si="9"/>
        <v>532762.78021710063</v>
      </c>
      <c r="C86" s="69">
        <f t="shared" si="5"/>
        <v>3440.7596222354414</v>
      </c>
      <c r="D86" s="71">
        <f t="shared" si="6"/>
        <v>-288.31713574371179</v>
      </c>
      <c r="E86" s="71">
        <f t="shared" si="7"/>
        <v>3152.4424864917296</v>
      </c>
      <c r="F86" s="71">
        <f t="shared" si="8"/>
        <v>529610.33773060888</v>
      </c>
    </row>
    <row r="87" spans="1:6" ht="15.6" x14ac:dyDescent="0.3">
      <c r="A87" s="70">
        <v>73</v>
      </c>
      <c r="B87" s="71">
        <f t="shared" si="9"/>
        <v>529610.33773060888</v>
      </c>
      <c r="C87" s="69">
        <f t="shared" si="5"/>
        <v>3420.4000978435156</v>
      </c>
      <c r="D87" s="71">
        <f t="shared" si="6"/>
        <v>-267.957611351786</v>
      </c>
      <c r="E87" s="71">
        <f t="shared" si="7"/>
        <v>3152.4424864917296</v>
      </c>
      <c r="F87" s="71">
        <f t="shared" si="8"/>
        <v>526457.89524411713</v>
      </c>
    </row>
    <row r="88" spans="1:6" ht="15.6" x14ac:dyDescent="0.3">
      <c r="A88" s="70">
        <v>74</v>
      </c>
      <c r="B88" s="71">
        <f t="shared" si="9"/>
        <v>526457.89524411713</v>
      </c>
      <c r="C88" s="69">
        <f t="shared" si="5"/>
        <v>3400.0405734515898</v>
      </c>
      <c r="D88" s="71">
        <f t="shared" si="6"/>
        <v>-247.59808695986021</v>
      </c>
      <c r="E88" s="71">
        <f t="shared" si="7"/>
        <v>3152.4424864917296</v>
      </c>
      <c r="F88" s="71">
        <f t="shared" si="8"/>
        <v>523305.45275762537</v>
      </c>
    </row>
    <row r="89" spans="1:6" ht="15.6" x14ac:dyDescent="0.3">
      <c r="A89" s="70">
        <v>75</v>
      </c>
      <c r="B89" s="71">
        <f t="shared" si="9"/>
        <v>523305.45275762537</v>
      </c>
      <c r="C89" s="69">
        <f t="shared" si="5"/>
        <v>3379.681049059664</v>
      </c>
      <c r="D89" s="71">
        <f t="shared" si="6"/>
        <v>-227.23856256793442</v>
      </c>
      <c r="E89" s="71">
        <f t="shared" si="7"/>
        <v>3152.4424864917296</v>
      </c>
      <c r="F89" s="71">
        <f t="shared" si="8"/>
        <v>520153.01027113362</v>
      </c>
    </row>
    <row r="90" spans="1:6" ht="15.6" x14ac:dyDescent="0.3">
      <c r="A90" s="70">
        <v>76</v>
      </c>
      <c r="B90" s="71">
        <f t="shared" si="9"/>
        <v>520153.01027113362</v>
      </c>
      <c r="C90" s="69">
        <f t="shared" si="5"/>
        <v>3359.3215246677378</v>
      </c>
      <c r="D90" s="71">
        <f t="shared" si="6"/>
        <v>-206.87903817600818</v>
      </c>
      <c r="E90" s="71">
        <f t="shared" si="7"/>
        <v>3152.4424864917296</v>
      </c>
      <c r="F90" s="71">
        <f t="shared" si="8"/>
        <v>517000.56778464187</v>
      </c>
    </row>
    <row r="91" spans="1:6" ht="15.6" x14ac:dyDescent="0.3">
      <c r="A91" s="70">
        <v>77</v>
      </c>
      <c r="B91" s="71">
        <f t="shared" si="9"/>
        <v>517000.56778464187</v>
      </c>
      <c r="C91" s="69">
        <f t="shared" si="5"/>
        <v>3338.962000275812</v>
      </c>
      <c r="D91" s="71">
        <f t="shared" si="6"/>
        <v>-186.51951378408239</v>
      </c>
      <c r="E91" s="71">
        <f t="shared" si="7"/>
        <v>3152.4424864917296</v>
      </c>
      <c r="F91" s="71">
        <f t="shared" si="8"/>
        <v>513848.12529815012</v>
      </c>
    </row>
    <row r="92" spans="1:6" ht="15.6" x14ac:dyDescent="0.3">
      <c r="A92" s="70">
        <v>78</v>
      </c>
      <c r="B92" s="71">
        <f t="shared" si="9"/>
        <v>513848.12529815012</v>
      </c>
      <c r="C92" s="69">
        <f t="shared" si="5"/>
        <v>3318.6024758838862</v>
      </c>
      <c r="D92" s="71">
        <f t="shared" si="6"/>
        <v>-166.1599893921566</v>
      </c>
      <c r="E92" s="71">
        <f t="shared" si="7"/>
        <v>3152.4424864917296</v>
      </c>
      <c r="F92" s="71">
        <f t="shared" si="8"/>
        <v>510695.68281165836</v>
      </c>
    </row>
    <row r="93" spans="1:6" ht="15.6" x14ac:dyDescent="0.3">
      <c r="A93" s="70">
        <v>79</v>
      </c>
      <c r="B93" s="71">
        <f t="shared" si="9"/>
        <v>510695.68281165836</v>
      </c>
      <c r="C93" s="69">
        <f t="shared" si="5"/>
        <v>3298.2429514919604</v>
      </c>
      <c r="D93" s="71">
        <f t="shared" si="6"/>
        <v>-145.80046500023082</v>
      </c>
      <c r="E93" s="71">
        <f t="shared" si="7"/>
        <v>3152.4424864917296</v>
      </c>
      <c r="F93" s="71">
        <f t="shared" si="8"/>
        <v>507543.24032516661</v>
      </c>
    </row>
    <row r="94" spans="1:6" ht="15.6" x14ac:dyDescent="0.3">
      <c r="A94" s="70">
        <v>80</v>
      </c>
      <c r="B94" s="71">
        <f t="shared" si="9"/>
        <v>507543.24032516661</v>
      </c>
      <c r="C94" s="69">
        <f t="shared" si="5"/>
        <v>3277.8834271000342</v>
      </c>
      <c r="D94" s="71">
        <f t="shared" si="6"/>
        <v>-125.44094060830457</v>
      </c>
      <c r="E94" s="71">
        <f t="shared" si="7"/>
        <v>3152.4424864917296</v>
      </c>
      <c r="F94" s="71">
        <f t="shared" si="8"/>
        <v>504390.79783867486</v>
      </c>
    </row>
    <row r="95" spans="1:6" ht="15.6" x14ac:dyDescent="0.3">
      <c r="A95" s="70">
        <v>81</v>
      </c>
      <c r="B95" s="71">
        <f t="shared" si="9"/>
        <v>504390.79783867486</v>
      </c>
      <c r="C95" s="69">
        <f t="shared" si="5"/>
        <v>3257.5239027081084</v>
      </c>
      <c r="D95" s="71">
        <f t="shared" si="6"/>
        <v>-105.08141621637878</v>
      </c>
      <c r="E95" s="71">
        <f t="shared" si="7"/>
        <v>3152.4424864917296</v>
      </c>
      <c r="F95" s="71">
        <f t="shared" si="8"/>
        <v>501238.35535218311</v>
      </c>
    </row>
    <row r="96" spans="1:6" ht="15.6" x14ac:dyDescent="0.3">
      <c r="A96" s="70">
        <v>82</v>
      </c>
      <c r="B96" s="71">
        <f t="shared" si="9"/>
        <v>501238.35535218311</v>
      </c>
      <c r="C96" s="69">
        <f t="shared" si="5"/>
        <v>3237.1643783161826</v>
      </c>
      <c r="D96" s="71">
        <f t="shared" si="6"/>
        <v>-84.721891824452996</v>
      </c>
      <c r="E96" s="71">
        <f t="shared" si="7"/>
        <v>3152.4424864917296</v>
      </c>
      <c r="F96" s="71">
        <f t="shared" si="8"/>
        <v>498085.91286569135</v>
      </c>
    </row>
    <row r="97" spans="1:6" ht="15.6" x14ac:dyDescent="0.3">
      <c r="A97" s="70">
        <v>83</v>
      </c>
      <c r="B97" s="71">
        <f t="shared" si="9"/>
        <v>498085.91286569135</v>
      </c>
      <c r="C97" s="69">
        <f t="shared" si="5"/>
        <v>3216.8048539242568</v>
      </c>
      <c r="D97" s="71">
        <f t="shared" si="6"/>
        <v>-64.362367432527208</v>
      </c>
      <c r="E97" s="71">
        <f t="shared" si="7"/>
        <v>3152.4424864917296</v>
      </c>
      <c r="F97" s="71">
        <f t="shared" si="8"/>
        <v>494933.4703791996</v>
      </c>
    </row>
    <row r="98" spans="1:6" ht="15.6" x14ac:dyDescent="0.3">
      <c r="A98" s="70">
        <v>84</v>
      </c>
      <c r="B98" s="71">
        <f t="shared" si="9"/>
        <v>494933.4703791996</v>
      </c>
      <c r="C98" s="69">
        <f t="shared" si="5"/>
        <v>3196.4453295323306</v>
      </c>
      <c r="D98" s="71">
        <f t="shared" si="6"/>
        <v>-44.002843040600965</v>
      </c>
      <c r="E98" s="71">
        <f t="shared" si="7"/>
        <v>3152.4424864917296</v>
      </c>
      <c r="F98" s="71">
        <f t="shared" si="8"/>
        <v>491781.02789270785</v>
      </c>
    </row>
    <row r="99" spans="1:6" ht="15.6" x14ac:dyDescent="0.3">
      <c r="A99" s="70">
        <v>85</v>
      </c>
      <c r="B99" s="71">
        <f t="shared" si="9"/>
        <v>491781.02789270785</v>
      </c>
      <c r="C99" s="69">
        <f t="shared" si="5"/>
        <v>3176.0858051404048</v>
      </c>
      <c r="D99" s="71">
        <f t="shared" si="6"/>
        <v>-23.643318648675177</v>
      </c>
      <c r="E99" s="71">
        <f t="shared" si="7"/>
        <v>3152.4424864917296</v>
      </c>
      <c r="F99" s="71">
        <f t="shared" si="8"/>
        <v>488628.58540621609</v>
      </c>
    </row>
    <row r="100" spans="1:6" ht="15.6" x14ac:dyDescent="0.3">
      <c r="A100" s="70">
        <v>86</v>
      </c>
      <c r="B100" s="71">
        <f t="shared" si="9"/>
        <v>488628.58540621609</v>
      </c>
      <c r="C100" s="69">
        <f t="shared" si="5"/>
        <v>3155.726280748479</v>
      </c>
      <c r="D100" s="71">
        <f t="shared" si="6"/>
        <v>-3.2837942567493883</v>
      </c>
      <c r="E100" s="71">
        <f t="shared" si="7"/>
        <v>3152.4424864917296</v>
      </c>
      <c r="F100" s="71">
        <f t="shared" si="8"/>
        <v>485476.14291972434</v>
      </c>
    </row>
    <row r="101" spans="1:6" ht="15.6" x14ac:dyDescent="0.3">
      <c r="A101" s="70">
        <v>87</v>
      </c>
      <c r="B101" s="71">
        <f t="shared" si="9"/>
        <v>485476.14291972434</v>
      </c>
      <c r="C101" s="69">
        <f t="shared" si="5"/>
        <v>3135.3667563565532</v>
      </c>
      <c r="D101" s="71">
        <f t="shared" si="6"/>
        <v>17.0757301351764</v>
      </c>
      <c r="E101" s="71">
        <f t="shared" si="7"/>
        <v>3152.4424864917296</v>
      </c>
      <c r="F101" s="71">
        <f t="shared" si="8"/>
        <v>482323.70043323259</v>
      </c>
    </row>
    <row r="102" spans="1:6" ht="15.6" x14ac:dyDescent="0.3">
      <c r="A102" s="70">
        <v>88</v>
      </c>
      <c r="B102" s="71">
        <f t="shared" si="9"/>
        <v>482323.70043323259</v>
      </c>
      <c r="C102" s="69">
        <f t="shared" si="5"/>
        <v>3115.007231964627</v>
      </c>
      <c r="D102" s="71">
        <f t="shared" si="6"/>
        <v>37.435254527102643</v>
      </c>
      <c r="E102" s="71">
        <f t="shared" si="7"/>
        <v>3152.4424864917296</v>
      </c>
      <c r="F102" s="71">
        <f t="shared" si="8"/>
        <v>479171.25794674084</v>
      </c>
    </row>
    <row r="103" spans="1:6" ht="15.6" x14ac:dyDescent="0.3">
      <c r="A103" s="70">
        <v>89</v>
      </c>
      <c r="B103" s="71">
        <f t="shared" si="9"/>
        <v>479171.25794674084</v>
      </c>
      <c r="C103" s="69">
        <f t="shared" si="5"/>
        <v>3094.6477075727012</v>
      </c>
      <c r="D103" s="71">
        <f t="shared" si="6"/>
        <v>57.794778919028431</v>
      </c>
      <c r="E103" s="71">
        <f t="shared" si="7"/>
        <v>3152.4424864917296</v>
      </c>
      <c r="F103" s="71">
        <f t="shared" si="8"/>
        <v>476018.81546024908</v>
      </c>
    </row>
    <row r="104" spans="1:6" ht="15.6" x14ac:dyDescent="0.3">
      <c r="A104" s="70">
        <v>90</v>
      </c>
      <c r="B104" s="71">
        <f t="shared" si="9"/>
        <v>476018.81546024908</v>
      </c>
      <c r="C104" s="69">
        <f t="shared" si="5"/>
        <v>3074.2881831807754</v>
      </c>
      <c r="D104" s="71">
        <f t="shared" si="6"/>
        <v>78.154303310954219</v>
      </c>
      <c r="E104" s="71">
        <f t="shared" si="7"/>
        <v>3152.4424864917296</v>
      </c>
      <c r="F104" s="71">
        <f t="shared" si="8"/>
        <v>472866.37297375733</v>
      </c>
    </row>
    <row r="105" spans="1:6" ht="15.6" x14ac:dyDescent="0.3">
      <c r="A105" s="70">
        <v>91</v>
      </c>
      <c r="B105" s="71">
        <f t="shared" si="9"/>
        <v>472866.37297375733</v>
      </c>
      <c r="C105" s="69">
        <f t="shared" si="5"/>
        <v>3053.9286587888496</v>
      </c>
      <c r="D105" s="71">
        <f t="shared" si="6"/>
        <v>98.513827702880008</v>
      </c>
      <c r="E105" s="71">
        <f t="shared" si="7"/>
        <v>3152.4424864917296</v>
      </c>
      <c r="F105" s="71">
        <f t="shared" si="8"/>
        <v>469713.93048726558</v>
      </c>
    </row>
    <row r="106" spans="1:6" ht="15.6" x14ac:dyDescent="0.3">
      <c r="A106" s="70">
        <v>92</v>
      </c>
      <c r="B106" s="71">
        <f t="shared" si="9"/>
        <v>469713.93048726558</v>
      </c>
      <c r="C106" s="69">
        <f t="shared" si="5"/>
        <v>3033.5691343969233</v>
      </c>
      <c r="D106" s="71">
        <f t="shared" si="6"/>
        <v>118.87335209480625</v>
      </c>
      <c r="E106" s="71">
        <f t="shared" si="7"/>
        <v>3152.4424864917296</v>
      </c>
      <c r="F106" s="71">
        <f t="shared" si="8"/>
        <v>466561.48800077382</v>
      </c>
    </row>
    <row r="107" spans="1:6" ht="15.6" x14ac:dyDescent="0.3">
      <c r="A107" s="70">
        <v>93</v>
      </c>
      <c r="B107" s="71">
        <f t="shared" si="9"/>
        <v>466561.48800077382</v>
      </c>
      <c r="C107" s="69">
        <f t="shared" si="5"/>
        <v>3013.2096100049976</v>
      </c>
      <c r="D107" s="71">
        <f t="shared" si="6"/>
        <v>139.23287648673204</v>
      </c>
      <c r="E107" s="71">
        <f t="shared" si="7"/>
        <v>3152.4424864917296</v>
      </c>
      <c r="F107" s="71">
        <f t="shared" si="8"/>
        <v>463409.04551428207</v>
      </c>
    </row>
    <row r="108" spans="1:6" ht="15.6" x14ac:dyDescent="0.3">
      <c r="A108" s="70">
        <v>94</v>
      </c>
      <c r="B108" s="71">
        <f t="shared" si="9"/>
        <v>463409.04551428207</v>
      </c>
      <c r="C108" s="69">
        <f t="shared" si="5"/>
        <v>2992.8500856130718</v>
      </c>
      <c r="D108" s="71">
        <f t="shared" si="6"/>
        <v>159.59240087865783</v>
      </c>
      <c r="E108" s="71">
        <f t="shared" si="7"/>
        <v>3152.4424864917296</v>
      </c>
      <c r="F108" s="71">
        <f t="shared" si="8"/>
        <v>460256.60302779032</v>
      </c>
    </row>
    <row r="109" spans="1:6" ht="15.6" x14ac:dyDescent="0.3">
      <c r="A109" s="70">
        <v>95</v>
      </c>
      <c r="B109" s="71">
        <f t="shared" si="9"/>
        <v>460256.60302779032</v>
      </c>
      <c r="C109" s="69">
        <f t="shared" si="5"/>
        <v>2972.490561221146</v>
      </c>
      <c r="D109" s="71">
        <f t="shared" si="6"/>
        <v>179.95192527058362</v>
      </c>
      <c r="E109" s="71">
        <f t="shared" si="7"/>
        <v>3152.4424864917296</v>
      </c>
      <c r="F109" s="71">
        <f t="shared" si="8"/>
        <v>457104.16054129857</v>
      </c>
    </row>
    <row r="110" spans="1:6" ht="15.6" x14ac:dyDescent="0.3">
      <c r="A110" s="70">
        <v>96</v>
      </c>
      <c r="B110" s="71">
        <f t="shared" si="9"/>
        <v>457104.16054129857</v>
      </c>
      <c r="C110" s="69">
        <f t="shared" si="5"/>
        <v>2952.1310368292197</v>
      </c>
      <c r="D110" s="71">
        <f t="shared" si="6"/>
        <v>200.31144966250986</v>
      </c>
      <c r="E110" s="71">
        <f t="shared" si="7"/>
        <v>3152.4424864917296</v>
      </c>
      <c r="F110" s="71">
        <f t="shared" si="8"/>
        <v>453951.71805480681</v>
      </c>
    </row>
    <row r="111" spans="1:6" ht="15.6" x14ac:dyDescent="0.3">
      <c r="A111" s="70">
        <v>97</v>
      </c>
      <c r="B111" s="71">
        <f t="shared" si="9"/>
        <v>453951.71805480681</v>
      </c>
      <c r="C111" s="69">
        <f t="shared" ref="C111:C134" si="10">B111*(Rate/12)</f>
        <v>2931.7715124372939</v>
      </c>
      <c r="D111" s="71">
        <f t="shared" ref="D111:D134" si="11">Payment-C111</f>
        <v>220.67097405443565</v>
      </c>
      <c r="E111" s="71">
        <f t="shared" si="7"/>
        <v>3152.4424864917296</v>
      </c>
      <c r="F111" s="71">
        <f t="shared" si="8"/>
        <v>450799.27556831506</v>
      </c>
    </row>
    <row r="112" spans="1:6" ht="15.6" x14ac:dyDescent="0.3">
      <c r="A112" s="70">
        <v>98</v>
      </c>
      <c r="B112" s="71">
        <f t="shared" si="9"/>
        <v>450799.27556831506</v>
      </c>
      <c r="C112" s="69">
        <f t="shared" si="10"/>
        <v>2911.4119880453682</v>
      </c>
      <c r="D112" s="71">
        <f t="shared" si="11"/>
        <v>241.03049844636143</v>
      </c>
      <c r="E112" s="71">
        <f t="shared" si="7"/>
        <v>3152.4424864917296</v>
      </c>
      <c r="F112" s="71">
        <f t="shared" si="8"/>
        <v>447646.83308182331</v>
      </c>
    </row>
    <row r="113" spans="1:6" ht="15.6" x14ac:dyDescent="0.3">
      <c r="A113" s="70">
        <v>99</v>
      </c>
      <c r="B113" s="71">
        <f t="shared" si="9"/>
        <v>447646.83308182331</v>
      </c>
      <c r="C113" s="69">
        <f t="shared" si="10"/>
        <v>2891.0524636534424</v>
      </c>
      <c r="D113" s="71">
        <f t="shared" si="11"/>
        <v>261.39002283828722</v>
      </c>
      <c r="E113" s="71">
        <f t="shared" si="7"/>
        <v>3152.4424864917296</v>
      </c>
      <c r="F113" s="71">
        <f t="shared" si="8"/>
        <v>444494.39059533156</v>
      </c>
    </row>
    <row r="114" spans="1:6" ht="15.6" x14ac:dyDescent="0.3">
      <c r="A114" s="70">
        <v>100</v>
      </c>
      <c r="B114" s="71">
        <f t="shared" si="9"/>
        <v>444494.39059533156</v>
      </c>
      <c r="C114" s="69">
        <f t="shared" si="10"/>
        <v>2870.6929392615161</v>
      </c>
      <c r="D114" s="71">
        <f t="shared" si="11"/>
        <v>281.74954723021347</v>
      </c>
      <c r="E114" s="71">
        <f t="shared" si="7"/>
        <v>3152.4424864917296</v>
      </c>
      <c r="F114" s="71">
        <f t="shared" si="8"/>
        <v>441341.9481088398</v>
      </c>
    </row>
    <row r="115" spans="1:6" ht="15.6" x14ac:dyDescent="0.3">
      <c r="A115" s="70">
        <v>101</v>
      </c>
      <c r="B115" s="71">
        <f t="shared" si="9"/>
        <v>441341.9481088398</v>
      </c>
      <c r="C115" s="69">
        <f t="shared" si="10"/>
        <v>2850.3334148695903</v>
      </c>
      <c r="D115" s="71">
        <f t="shared" si="11"/>
        <v>302.10907162213925</v>
      </c>
      <c r="E115" s="71">
        <f t="shared" si="7"/>
        <v>3152.4424864917296</v>
      </c>
      <c r="F115" s="71">
        <f t="shared" si="8"/>
        <v>438189.50562234805</v>
      </c>
    </row>
    <row r="116" spans="1:6" ht="15.6" x14ac:dyDescent="0.3">
      <c r="A116" s="70">
        <v>102</v>
      </c>
      <c r="B116" s="71">
        <f t="shared" si="9"/>
        <v>438189.50562234805</v>
      </c>
      <c r="C116" s="69">
        <f t="shared" si="10"/>
        <v>2829.9738904776646</v>
      </c>
      <c r="D116" s="71">
        <f t="shared" si="11"/>
        <v>322.46859601406504</v>
      </c>
      <c r="E116" s="71">
        <f t="shared" si="7"/>
        <v>3152.4424864917296</v>
      </c>
      <c r="F116" s="71">
        <f t="shared" si="8"/>
        <v>435037.0631358563</v>
      </c>
    </row>
    <row r="117" spans="1:6" ht="15.6" x14ac:dyDescent="0.3">
      <c r="A117" s="70">
        <v>103</v>
      </c>
      <c r="B117" s="71">
        <f t="shared" si="9"/>
        <v>435037.0631358563</v>
      </c>
      <c r="C117" s="69">
        <f t="shared" si="10"/>
        <v>2809.6143660857388</v>
      </c>
      <c r="D117" s="71">
        <f t="shared" si="11"/>
        <v>342.82812040599083</v>
      </c>
      <c r="E117" s="71">
        <f t="shared" si="7"/>
        <v>3152.4424864917296</v>
      </c>
      <c r="F117" s="71">
        <f t="shared" si="8"/>
        <v>431884.62064936454</v>
      </c>
    </row>
    <row r="118" spans="1:6" ht="15.6" x14ac:dyDescent="0.3">
      <c r="A118" s="70">
        <v>104</v>
      </c>
      <c r="B118" s="71">
        <f t="shared" si="9"/>
        <v>431884.62064936454</v>
      </c>
      <c r="C118" s="69">
        <f t="shared" si="10"/>
        <v>2789.2548416938125</v>
      </c>
      <c r="D118" s="71">
        <f t="shared" si="11"/>
        <v>363.18764479791707</v>
      </c>
      <c r="E118" s="71">
        <f t="shared" si="7"/>
        <v>3152.4424864917296</v>
      </c>
      <c r="F118" s="71">
        <f t="shared" si="8"/>
        <v>428732.17816287279</v>
      </c>
    </row>
    <row r="119" spans="1:6" ht="15.6" x14ac:dyDescent="0.3">
      <c r="A119" s="70">
        <v>105</v>
      </c>
      <c r="B119" s="71">
        <f t="shared" si="9"/>
        <v>428732.17816287279</v>
      </c>
      <c r="C119" s="69">
        <f t="shared" si="10"/>
        <v>2768.8953173018867</v>
      </c>
      <c r="D119" s="71">
        <f t="shared" si="11"/>
        <v>383.54716918984286</v>
      </c>
      <c r="E119" s="71">
        <f t="shared" si="7"/>
        <v>3152.4424864917296</v>
      </c>
      <c r="F119" s="71">
        <f t="shared" si="8"/>
        <v>425579.73567638104</v>
      </c>
    </row>
    <row r="120" spans="1:6" ht="15.6" x14ac:dyDescent="0.3">
      <c r="A120" s="70">
        <v>106</v>
      </c>
      <c r="B120" s="71">
        <f t="shared" si="9"/>
        <v>425579.73567638104</v>
      </c>
      <c r="C120" s="69">
        <f t="shared" si="10"/>
        <v>2748.5357929099609</v>
      </c>
      <c r="D120" s="71">
        <f t="shared" si="11"/>
        <v>403.90669358176865</v>
      </c>
      <c r="E120" s="71">
        <f t="shared" si="7"/>
        <v>3152.4424864917296</v>
      </c>
      <c r="F120" s="71">
        <f t="shared" si="8"/>
        <v>422427.29318988929</v>
      </c>
    </row>
    <row r="121" spans="1:6" ht="15.6" x14ac:dyDescent="0.3">
      <c r="A121" s="70">
        <v>107</v>
      </c>
      <c r="B121" s="71">
        <f t="shared" si="9"/>
        <v>422427.29318988929</v>
      </c>
      <c r="C121" s="69">
        <f t="shared" si="10"/>
        <v>2728.1762685180352</v>
      </c>
      <c r="D121" s="71">
        <f t="shared" si="11"/>
        <v>424.26621797369444</v>
      </c>
      <c r="E121" s="71">
        <f t="shared" si="7"/>
        <v>3152.4424864917296</v>
      </c>
      <c r="F121" s="71">
        <f t="shared" si="8"/>
        <v>419274.85070339753</v>
      </c>
    </row>
    <row r="122" spans="1:6" ht="15.6" x14ac:dyDescent="0.3">
      <c r="A122" s="70">
        <v>108</v>
      </c>
      <c r="B122" s="71">
        <f t="shared" si="9"/>
        <v>419274.85070339753</v>
      </c>
      <c r="C122" s="69">
        <f t="shared" si="10"/>
        <v>2707.8167441261089</v>
      </c>
      <c r="D122" s="71">
        <f t="shared" si="11"/>
        <v>444.62574236562068</v>
      </c>
      <c r="E122" s="71">
        <f t="shared" si="7"/>
        <v>3152.4424864917296</v>
      </c>
      <c r="F122" s="71">
        <f t="shared" si="8"/>
        <v>416122.40821690578</v>
      </c>
    </row>
    <row r="123" spans="1:6" ht="15.6" x14ac:dyDescent="0.3">
      <c r="A123" s="70">
        <v>109</v>
      </c>
      <c r="B123" s="71">
        <f t="shared" si="9"/>
        <v>416122.40821690578</v>
      </c>
      <c r="C123" s="69">
        <f t="shared" si="10"/>
        <v>2687.4572197341831</v>
      </c>
      <c r="D123" s="71">
        <f t="shared" si="11"/>
        <v>464.98526675754647</v>
      </c>
      <c r="E123" s="71">
        <f t="shared" si="7"/>
        <v>3152.4424864917296</v>
      </c>
      <c r="F123" s="71">
        <f t="shared" si="8"/>
        <v>412969.96573041403</v>
      </c>
    </row>
    <row r="124" spans="1:6" ht="15.6" x14ac:dyDescent="0.3">
      <c r="A124" s="70">
        <v>110</v>
      </c>
      <c r="B124" s="71">
        <f t="shared" si="9"/>
        <v>412969.96573041403</v>
      </c>
      <c r="C124" s="69">
        <f t="shared" si="10"/>
        <v>2667.0976953422573</v>
      </c>
      <c r="D124" s="71">
        <f t="shared" si="11"/>
        <v>485.34479114947226</v>
      </c>
      <c r="E124" s="71">
        <f t="shared" si="7"/>
        <v>3152.4424864917296</v>
      </c>
      <c r="F124" s="71">
        <f t="shared" si="8"/>
        <v>409817.52324392227</v>
      </c>
    </row>
    <row r="125" spans="1:6" ht="15.6" x14ac:dyDescent="0.3">
      <c r="A125" s="70">
        <v>111</v>
      </c>
      <c r="B125" s="71">
        <f t="shared" si="9"/>
        <v>409817.52324392227</v>
      </c>
      <c r="C125" s="69">
        <f t="shared" si="10"/>
        <v>2646.7381709503316</v>
      </c>
      <c r="D125" s="71">
        <f t="shared" si="11"/>
        <v>505.70431554139805</v>
      </c>
      <c r="E125" s="71">
        <f t="shared" si="7"/>
        <v>3152.4424864917296</v>
      </c>
      <c r="F125" s="71">
        <f t="shared" si="8"/>
        <v>406665.08075743052</v>
      </c>
    </row>
    <row r="126" spans="1:6" ht="15.6" x14ac:dyDescent="0.3">
      <c r="A126" s="70">
        <v>112</v>
      </c>
      <c r="B126" s="71">
        <f t="shared" si="9"/>
        <v>406665.08075743052</v>
      </c>
      <c r="C126" s="69">
        <f t="shared" si="10"/>
        <v>2626.3786465584053</v>
      </c>
      <c r="D126" s="71">
        <f t="shared" si="11"/>
        <v>526.06383993332429</v>
      </c>
      <c r="E126" s="71">
        <f t="shared" si="7"/>
        <v>3152.4424864917296</v>
      </c>
      <c r="F126" s="71">
        <f t="shared" si="8"/>
        <v>403512.63827093877</v>
      </c>
    </row>
    <row r="127" spans="1:6" ht="15.6" x14ac:dyDescent="0.3">
      <c r="A127" s="70">
        <v>113</v>
      </c>
      <c r="B127" s="71">
        <f t="shared" si="9"/>
        <v>403512.63827093877</v>
      </c>
      <c r="C127" s="69">
        <f t="shared" si="10"/>
        <v>2606.0191221664795</v>
      </c>
      <c r="D127" s="71">
        <f t="shared" si="11"/>
        <v>546.42336432525008</v>
      </c>
      <c r="E127" s="71">
        <f t="shared" si="7"/>
        <v>3152.4424864917296</v>
      </c>
      <c r="F127" s="71">
        <f t="shared" si="8"/>
        <v>400360.19578444702</v>
      </c>
    </row>
    <row r="128" spans="1:6" ht="15.6" x14ac:dyDescent="0.3">
      <c r="A128" s="70">
        <v>114</v>
      </c>
      <c r="B128" s="71">
        <f t="shared" si="9"/>
        <v>400360.19578444702</v>
      </c>
      <c r="C128" s="69">
        <f t="shared" si="10"/>
        <v>2585.6595977745537</v>
      </c>
      <c r="D128" s="71">
        <f t="shared" si="11"/>
        <v>566.78288871717587</v>
      </c>
      <c r="E128" s="71">
        <f t="shared" si="7"/>
        <v>3152.4424864917296</v>
      </c>
      <c r="F128" s="71">
        <f t="shared" si="8"/>
        <v>397207.75329795526</v>
      </c>
    </row>
    <row r="129" spans="1:6" ht="15.6" x14ac:dyDescent="0.3">
      <c r="A129" s="70">
        <v>115</v>
      </c>
      <c r="B129" s="71">
        <f t="shared" si="9"/>
        <v>397207.75329795526</v>
      </c>
      <c r="C129" s="69">
        <f t="shared" si="10"/>
        <v>2565.3000733826279</v>
      </c>
      <c r="D129" s="71">
        <f t="shared" si="11"/>
        <v>587.14241310910165</v>
      </c>
      <c r="E129" s="71">
        <f t="shared" si="7"/>
        <v>3152.4424864917296</v>
      </c>
      <c r="F129" s="71">
        <f t="shared" si="8"/>
        <v>394055.31081146351</v>
      </c>
    </row>
    <row r="130" spans="1:6" ht="15.6" x14ac:dyDescent="0.3">
      <c r="A130" s="70">
        <v>116</v>
      </c>
      <c r="B130" s="71">
        <f t="shared" si="9"/>
        <v>394055.31081146351</v>
      </c>
      <c r="C130" s="69">
        <f t="shared" si="10"/>
        <v>2544.9405489907017</v>
      </c>
      <c r="D130" s="71">
        <f t="shared" si="11"/>
        <v>607.5019375010279</v>
      </c>
      <c r="E130" s="71">
        <f t="shared" si="7"/>
        <v>3152.4424864917296</v>
      </c>
      <c r="F130" s="71">
        <f t="shared" si="8"/>
        <v>390902.86832497176</v>
      </c>
    </row>
    <row r="131" spans="1:6" ht="15.6" x14ac:dyDescent="0.3">
      <c r="A131" s="70">
        <v>117</v>
      </c>
      <c r="B131" s="71">
        <f t="shared" si="9"/>
        <v>390902.86832497176</v>
      </c>
      <c r="C131" s="69">
        <f t="shared" si="10"/>
        <v>2524.5810245987759</v>
      </c>
      <c r="D131" s="71">
        <f t="shared" si="11"/>
        <v>627.86146189295368</v>
      </c>
      <c r="E131" s="71">
        <f t="shared" si="7"/>
        <v>3152.4424864917296</v>
      </c>
      <c r="F131" s="71">
        <f t="shared" si="8"/>
        <v>387750.42583848001</v>
      </c>
    </row>
    <row r="132" spans="1:6" ht="15.6" x14ac:dyDescent="0.3">
      <c r="A132" s="70">
        <v>118</v>
      </c>
      <c r="B132" s="71">
        <f t="shared" si="9"/>
        <v>387750.42583848001</v>
      </c>
      <c r="C132" s="69">
        <f t="shared" si="10"/>
        <v>2504.2215002068501</v>
      </c>
      <c r="D132" s="71">
        <f t="shared" si="11"/>
        <v>648.22098628487947</v>
      </c>
      <c r="E132" s="71">
        <f t="shared" si="7"/>
        <v>3152.4424864917296</v>
      </c>
      <c r="F132" s="71">
        <f t="shared" si="8"/>
        <v>384597.98335198825</v>
      </c>
    </row>
    <row r="133" spans="1:6" ht="15.6" x14ac:dyDescent="0.3">
      <c r="A133" s="70">
        <v>119</v>
      </c>
      <c r="B133" s="71">
        <f t="shared" si="9"/>
        <v>384597.98335198825</v>
      </c>
      <c r="C133" s="69">
        <f t="shared" si="10"/>
        <v>2483.8619758149243</v>
      </c>
      <c r="D133" s="71">
        <f t="shared" si="11"/>
        <v>668.58051067680526</v>
      </c>
      <c r="E133" s="71">
        <f t="shared" si="7"/>
        <v>3152.4424864917296</v>
      </c>
      <c r="F133" s="71">
        <f t="shared" si="8"/>
        <v>381445.5408654965</v>
      </c>
    </row>
    <row r="134" spans="1:6" ht="15.6" x14ac:dyDescent="0.3">
      <c r="A134" s="70">
        <v>120</v>
      </c>
      <c r="B134" s="71">
        <f t="shared" si="9"/>
        <v>381445.5408654965</v>
      </c>
      <c r="C134" s="69">
        <f t="shared" si="10"/>
        <v>2463.5024514229981</v>
      </c>
      <c r="D134" s="71">
        <f t="shared" si="11"/>
        <v>688.9400350687315</v>
      </c>
      <c r="E134" s="71">
        <f t="shared" si="7"/>
        <v>3152.4424864917296</v>
      </c>
      <c r="F134" s="71">
        <f t="shared" si="8"/>
        <v>378293.09837900475</v>
      </c>
    </row>
  </sheetData>
  <mergeCells count="2">
    <mergeCell ref="A1:F2"/>
    <mergeCell ref="A3:F3"/>
  </mergeCells>
  <pageMargins left="0.7" right="0.7" top="0.75" bottom="0.75" header="0.3" footer="0.3"/>
  <pageSetup scale="21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opLeftCell="A76" workbookViewId="0">
      <selection activeCell="A34" sqref="A34"/>
    </sheetView>
  </sheetViews>
  <sheetFormatPr defaultColWidth="11" defaultRowHeight="15.6" x14ac:dyDescent="0.3"/>
  <cols>
    <col min="1" max="1" width="45.6640625" customWidth="1"/>
  </cols>
  <sheetData>
    <row r="1" spans="1:1" x14ac:dyDescent="0.3">
      <c r="A1" t="s">
        <v>9</v>
      </c>
    </row>
    <row r="2" spans="1:1" x14ac:dyDescent="0.3">
      <c r="A2" t="s">
        <v>12</v>
      </c>
    </row>
    <row r="3" spans="1:1" x14ac:dyDescent="0.3">
      <c r="A3" t="s">
        <v>11</v>
      </c>
    </row>
    <row r="5" spans="1:1" x14ac:dyDescent="0.3">
      <c r="A5" t="s">
        <v>4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2</v>
      </c>
    </row>
    <row r="9" spans="1:1" x14ac:dyDescent="0.3">
      <c r="A9" t="s">
        <v>19</v>
      </c>
    </row>
    <row r="10" spans="1:1" x14ac:dyDescent="0.3">
      <c r="A10" t="s">
        <v>20</v>
      </c>
    </row>
    <row r="11" spans="1:1" x14ac:dyDescent="0.3">
      <c r="A11" t="s">
        <v>21</v>
      </c>
    </row>
    <row r="12" spans="1:1" x14ac:dyDescent="0.3">
      <c r="A12" t="s">
        <v>22</v>
      </c>
    </row>
    <row r="13" spans="1:1" x14ac:dyDescent="0.3">
      <c r="A13" s="14" t="s">
        <v>133</v>
      </c>
    </row>
    <row r="14" spans="1:1" x14ac:dyDescent="0.3">
      <c r="A14" s="14" t="s">
        <v>134</v>
      </c>
    </row>
    <row r="15" spans="1:1" x14ac:dyDescent="0.3">
      <c r="A15" t="s">
        <v>25</v>
      </c>
    </row>
    <row r="16" spans="1:1" x14ac:dyDescent="0.3">
      <c r="A16" t="s">
        <v>26</v>
      </c>
    </row>
    <row r="17" spans="1:1" x14ac:dyDescent="0.3">
      <c r="A17" t="s">
        <v>27</v>
      </c>
    </row>
    <row r="18" spans="1:1" x14ac:dyDescent="0.3">
      <c r="A18" s="14" t="s">
        <v>135</v>
      </c>
    </row>
    <row r="19" spans="1:1" x14ac:dyDescent="0.3">
      <c r="A19" s="14" t="s">
        <v>136</v>
      </c>
    </row>
    <row r="20" spans="1:1" x14ac:dyDescent="0.3">
      <c r="A20" t="s">
        <v>31</v>
      </c>
    </row>
    <row r="21" spans="1:1" x14ac:dyDescent="0.3">
      <c r="A21" t="s">
        <v>131</v>
      </c>
    </row>
    <row r="22" spans="1:1" x14ac:dyDescent="0.3">
      <c r="A22" t="s">
        <v>7</v>
      </c>
    </row>
    <row r="23" spans="1:1" x14ac:dyDescent="0.3">
      <c r="A23" s="14" t="s">
        <v>32</v>
      </c>
    </row>
    <row r="24" spans="1:1" x14ac:dyDescent="0.3">
      <c r="A24" s="14" t="s">
        <v>127</v>
      </c>
    </row>
    <row r="25" spans="1:1" x14ac:dyDescent="0.3">
      <c r="A25" t="s">
        <v>34</v>
      </c>
    </row>
    <row r="26" spans="1:1" x14ac:dyDescent="0.3">
      <c r="A26" t="s">
        <v>132</v>
      </c>
    </row>
    <row r="27" spans="1:1" x14ac:dyDescent="0.3">
      <c r="A27" t="s">
        <v>8</v>
      </c>
    </row>
    <row r="28" spans="1:1" x14ac:dyDescent="0.3">
      <c r="A28" t="s">
        <v>35</v>
      </c>
    </row>
    <row r="30" spans="1:1" x14ac:dyDescent="0.3">
      <c r="A30" t="s">
        <v>87</v>
      </c>
    </row>
    <row r="31" spans="1:1" x14ac:dyDescent="0.3">
      <c r="A31" t="s">
        <v>86</v>
      </c>
    </row>
    <row r="32" spans="1:1" x14ac:dyDescent="0.3">
      <c r="A32" t="s">
        <v>84</v>
      </c>
    </row>
    <row r="33" spans="1:1" x14ac:dyDescent="0.3">
      <c r="A33" t="s">
        <v>85</v>
      </c>
    </row>
    <row r="35" spans="1:1" x14ac:dyDescent="0.3">
      <c r="A35" t="s">
        <v>42</v>
      </c>
    </row>
    <row r="36" spans="1:1" x14ac:dyDescent="0.3">
      <c r="A36" t="s">
        <v>88</v>
      </c>
    </row>
    <row r="37" spans="1:1" x14ac:dyDescent="0.3">
      <c r="A37" t="s">
        <v>43</v>
      </c>
    </row>
    <row r="38" spans="1:1" x14ac:dyDescent="0.3">
      <c r="A38" t="s">
        <v>44</v>
      </c>
    </row>
    <row r="39" spans="1:1" x14ac:dyDescent="0.3">
      <c r="A39" t="s">
        <v>45</v>
      </c>
    </row>
    <row r="40" spans="1:1" x14ac:dyDescent="0.3">
      <c r="A40" t="s">
        <v>88</v>
      </c>
    </row>
    <row r="41" spans="1:1" x14ac:dyDescent="0.3">
      <c r="A41" t="s">
        <v>54</v>
      </c>
    </row>
    <row r="42" spans="1:1" x14ac:dyDescent="0.3">
      <c r="A42" t="s">
        <v>55</v>
      </c>
    </row>
    <row r="43" spans="1:1" x14ac:dyDescent="0.3">
      <c r="A43" t="s">
        <v>56</v>
      </c>
    </row>
    <row r="45" spans="1:1" x14ac:dyDescent="0.3">
      <c r="A45" t="s">
        <v>58</v>
      </c>
    </row>
    <row r="47" spans="1:1" x14ac:dyDescent="0.3">
      <c r="A47" t="s">
        <v>59</v>
      </c>
    </row>
    <row r="49" spans="1:13" x14ac:dyDescent="0.3">
      <c r="A49">
        <v>0</v>
      </c>
      <c r="B49">
        <v>1</v>
      </c>
      <c r="C49">
        <v>2</v>
      </c>
      <c r="D49">
        <v>3</v>
      </c>
      <c r="E49">
        <v>4</v>
      </c>
      <c r="F49">
        <v>5</v>
      </c>
      <c r="G49">
        <v>6</v>
      </c>
      <c r="H49">
        <v>7</v>
      </c>
      <c r="I49">
        <v>8</v>
      </c>
      <c r="J49">
        <v>9</v>
      </c>
      <c r="K49">
        <v>10</v>
      </c>
      <c r="L49">
        <v>11</v>
      </c>
      <c r="M49">
        <v>12</v>
      </c>
    </row>
    <row r="50" spans="1:13" x14ac:dyDescent="0.3">
      <c r="E50" s="102" t="s">
        <v>175</v>
      </c>
      <c r="F50" s="102" t="s">
        <v>174</v>
      </c>
    </row>
    <row r="51" spans="1:13" x14ac:dyDescent="0.3">
      <c r="A51">
        <v>1</v>
      </c>
      <c r="E51" s="101">
        <v>1</v>
      </c>
      <c r="F51" t="s">
        <v>61</v>
      </c>
    </row>
    <row r="52" spans="1:13" x14ac:dyDescent="0.3">
      <c r="A52">
        <v>2</v>
      </c>
      <c r="E52" s="101">
        <v>2</v>
      </c>
      <c r="F52" t="s">
        <v>62</v>
      </c>
    </row>
    <row r="53" spans="1:13" x14ac:dyDescent="0.3">
      <c r="A53">
        <v>3</v>
      </c>
      <c r="E53" s="101">
        <v>3</v>
      </c>
      <c r="F53" t="s">
        <v>63</v>
      </c>
    </row>
    <row r="54" spans="1:13" x14ac:dyDescent="0.3">
      <c r="A54">
        <v>4</v>
      </c>
      <c r="E54" s="101">
        <v>4</v>
      </c>
      <c r="F54" t="s">
        <v>64</v>
      </c>
    </row>
    <row r="55" spans="1:13" x14ac:dyDescent="0.3">
      <c r="A55">
        <v>5</v>
      </c>
      <c r="E55" s="101">
        <v>5</v>
      </c>
      <c r="F55" t="s">
        <v>65</v>
      </c>
    </row>
    <row r="56" spans="1:13" x14ac:dyDescent="0.3">
      <c r="A56">
        <v>6</v>
      </c>
      <c r="E56" s="101">
        <v>6</v>
      </c>
      <c r="F56" t="s">
        <v>66</v>
      </c>
    </row>
    <row r="57" spans="1:13" x14ac:dyDescent="0.3">
      <c r="A57">
        <v>7</v>
      </c>
      <c r="E57" s="101">
        <v>7</v>
      </c>
      <c r="F57" t="s">
        <v>67</v>
      </c>
    </row>
    <row r="58" spans="1:13" x14ac:dyDescent="0.3">
      <c r="A58">
        <v>8</v>
      </c>
      <c r="E58" s="101">
        <v>8</v>
      </c>
      <c r="F58" t="s">
        <v>68</v>
      </c>
    </row>
    <row r="59" spans="1:13" x14ac:dyDescent="0.3">
      <c r="A59">
        <v>9</v>
      </c>
      <c r="E59" s="101">
        <v>9</v>
      </c>
      <c r="F59" t="s">
        <v>69</v>
      </c>
    </row>
    <row r="60" spans="1:13" x14ac:dyDescent="0.3">
      <c r="A60">
        <v>10</v>
      </c>
      <c r="E60" s="101">
        <v>10</v>
      </c>
      <c r="F60" t="s">
        <v>70</v>
      </c>
    </row>
    <row r="61" spans="1:13" x14ac:dyDescent="0.3">
      <c r="A61">
        <v>11</v>
      </c>
      <c r="E61" s="101">
        <v>11</v>
      </c>
      <c r="F61" t="s">
        <v>71</v>
      </c>
    </row>
    <row r="62" spans="1:13" x14ac:dyDescent="0.3">
      <c r="A62">
        <v>12</v>
      </c>
      <c r="E62" s="101">
        <v>12</v>
      </c>
      <c r="F62" t="s">
        <v>72</v>
      </c>
    </row>
    <row r="63" spans="1:13" x14ac:dyDescent="0.3">
      <c r="A63">
        <v>13</v>
      </c>
    </row>
    <row r="64" spans="1:13" x14ac:dyDescent="0.3">
      <c r="A64">
        <v>14</v>
      </c>
    </row>
    <row r="65" spans="1:1" x14ac:dyDescent="0.3">
      <c r="A65">
        <v>15</v>
      </c>
    </row>
    <row r="66" spans="1:1" x14ac:dyDescent="0.3">
      <c r="A66">
        <v>16</v>
      </c>
    </row>
    <row r="67" spans="1:1" x14ac:dyDescent="0.3">
      <c r="A67">
        <v>17</v>
      </c>
    </row>
    <row r="68" spans="1:1" x14ac:dyDescent="0.3">
      <c r="A68">
        <v>18</v>
      </c>
    </row>
    <row r="69" spans="1:1" x14ac:dyDescent="0.3">
      <c r="A69">
        <v>19</v>
      </c>
    </row>
    <row r="70" spans="1:1" x14ac:dyDescent="0.3">
      <c r="A70">
        <v>20</v>
      </c>
    </row>
    <row r="71" spans="1:1" x14ac:dyDescent="0.3">
      <c r="A71">
        <v>21</v>
      </c>
    </row>
    <row r="72" spans="1:1" x14ac:dyDescent="0.3">
      <c r="A72">
        <v>22</v>
      </c>
    </row>
    <row r="73" spans="1:1" x14ac:dyDescent="0.3">
      <c r="A73">
        <v>23</v>
      </c>
    </row>
    <row r="74" spans="1:1" x14ac:dyDescent="0.3">
      <c r="A74">
        <v>24</v>
      </c>
    </row>
    <row r="75" spans="1:1" x14ac:dyDescent="0.3">
      <c r="A75">
        <v>25</v>
      </c>
    </row>
    <row r="76" spans="1:1" x14ac:dyDescent="0.3">
      <c r="A76">
        <v>26</v>
      </c>
    </row>
    <row r="77" spans="1:1" x14ac:dyDescent="0.3">
      <c r="A77">
        <v>27</v>
      </c>
    </row>
    <row r="78" spans="1:1" x14ac:dyDescent="0.3">
      <c r="A78">
        <v>28</v>
      </c>
    </row>
    <row r="79" spans="1:1" x14ac:dyDescent="0.3">
      <c r="A79">
        <v>29</v>
      </c>
    </row>
    <row r="80" spans="1:1" x14ac:dyDescent="0.3">
      <c r="A80">
        <v>30</v>
      </c>
    </row>
    <row r="81" spans="1:1" x14ac:dyDescent="0.3">
      <c r="A81">
        <v>31</v>
      </c>
    </row>
    <row r="82" spans="1:1" x14ac:dyDescent="0.3">
      <c r="A82">
        <v>32</v>
      </c>
    </row>
    <row r="83" spans="1:1" x14ac:dyDescent="0.3">
      <c r="A83">
        <v>33</v>
      </c>
    </row>
    <row r="84" spans="1:1" x14ac:dyDescent="0.3">
      <c r="A84">
        <v>34</v>
      </c>
    </row>
    <row r="85" spans="1:1" x14ac:dyDescent="0.3">
      <c r="A85">
        <v>35</v>
      </c>
    </row>
    <row r="86" spans="1:1" x14ac:dyDescent="0.3">
      <c r="A86">
        <v>36</v>
      </c>
    </row>
    <row r="87" spans="1:1" x14ac:dyDescent="0.3">
      <c r="A87">
        <v>37</v>
      </c>
    </row>
    <row r="88" spans="1:1" x14ac:dyDescent="0.3">
      <c r="A88">
        <v>38</v>
      </c>
    </row>
    <row r="89" spans="1:1" x14ac:dyDescent="0.3">
      <c r="A89">
        <v>39</v>
      </c>
    </row>
    <row r="90" spans="1:1" x14ac:dyDescent="0.3">
      <c r="A90">
        <v>40</v>
      </c>
    </row>
    <row r="91" spans="1:1" x14ac:dyDescent="0.3">
      <c r="A91">
        <v>41</v>
      </c>
    </row>
    <row r="92" spans="1:1" x14ac:dyDescent="0.3">
      <c r="A92">
        <v>42</v>
      </c>
    </row>
    <row r="93" spans="1:1" x14ac:dyDescent="0.3">
      <c r="A93">
        <v>43</v>
      </c>
    </row>
    <row r="94" spans="1:1" x14ac:dyDescent="0.3">
      <c r="A94">
        <v>44</v>
      </c>
    </row>
    <row r="95" spans="1:1" x14ac:dyDescent="0.3">
      <c r="A95">
        <v>45</v>
      </c>
    </row>
    <row r="96" spans="1:1" x14ac:dyDescent="0.3">
      <c r="A96">
        <v>46</v>
      </c>
    </row>
    <row r="97" spans="1:1" x14ac:dyDescent="0.3">
      <c r="A97">
        <v>47</v>
      </c>
    </row>
    <row r="98" spans="1:1" x14ac:dyDescent="0.3">
      <c r="A98">
        <v>48</v>
      </c>
    </row>
    <row r="99" spans="1:1" x14ac:dyDescent="0.3">
      <c r="A99">
        <v>49</v>
      </c>
    </row>
    <row r="100" spans="1:1" x14ac:dyDescent="0.3">
      <c r="A100">
        <v>50</v>
      </c>
    </row>
    <row r="102" spans="1:1" x14ac:dyDescent="0.3">
      <c r="A102" t="s">
        <v>161</v>
      </c>
    </row>
    <row r="103" spans="1:1" x14ac:dyDescent="0.3">
      <c r="A103" t="s">
        <v>162</v>
      </c>
    </row>
    <row r="104" spans="1:1" x14ac:dyDescent="0.3">
      <c r="A104" t="s">
        <v>163</v>
      </c>
    </row>
    <row r="105" spans="1:1" x14ac:dyDescent="0.3">
      <c r="A105" t="s">
        <v>164</v>
      </c>
    </row>
    <row r="106" spans="1:1" x14ac:dyDescent="0.3">
      <c r="A106" t="s">
        <v>165</v>
      </c>
    </row>
    <row r="107" spans="1:1" x14ac:dyDescent="0.3">
      <c r="A107" t="s">
        <v>166</v>
      </c>
    </row>
  </sheetData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O42"/>
  <sheetViews>
    <sheetView zoomScale="98" zoomScaleNormal="98" zoomScalePageLayoutView="98" workbookViewId="0">
      <pane xSplit="13" ySplit="3" topLeftCell="N27" activePane="bottomRight" state="frozen"/>
      <selection activeCell="H4" sqref="H4"/>
      <selection pane="topRight" activeCell="H4" sqref="H4"/>
      <selection pane="bottomLeft" activeCell="H4" sqref="H4"/>
      <selection pane="bottomRight" activeCell="D21" sqref="D21"/>
    </sheetView>
  </sheetViews>
  <sheetFormatPr defaultColWidth="8.88671875" defaultRowHeight="15.6" x14ac:dyDescent="0.3"/>
  <cols>
    <col min="1" max="1" width="2" style="17" customWidth="1"/>
    <col min="2" max="2" width="43.88671875" style="17" customWidth="1"/>
    <col min="3" max="14" width="13.6640625" style="22" customWidth="1"/>
    <col min="15" max="15" width="0" hidden="1" customWidth="1"/>
  </cols>
  <sheetData>
    <row r="1" spans="1:15" ht="81" customHeight="1" x14ac:dyDescent="0.3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5" ht="24.75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5" x14ac:dyDescent="0.3">
      <c r="C3" s="18" t="s">
        <v>61</v>
      </c>
      <c r="D3" s="18" t="s">
        <v>62</v>
      </c>
      <c r="E3" s="18" t="s">
        <v>63</v>
      </c>
      <c r="F3" s="18" t="s">
        <v>64</v>
      </c>
      <c r="G3" s="18" t="s">
        <v>65</v>
      </c>
      <c r="H3" s="18" t="s">
        <v>66</v>
      </c>
      <c r="I3" s="18" t="s">
        <v>67</v>
      </c>
      <c r="J3" s="18" t="s">
        <v>68</v>
      </c>
      <c r="K3" s="18" t="s">
        <v>69</v>
      </c>
      <c r="L3" s="18" t="s">
        <v>70</v>
      </c>
      <c r="M3" s="18" t="s">
        <v>71</v>
      </c>
      <c r="N3" s="18" t="s">
        <v>72</v>
      </c>
    </row>
    <row r="4" spans="1:15" x14ac:dyDescent="0.3">
      <c r="B4" s="91" t="s">
        <v>78</v>
      </c>
      <c r="C4" s="92">
        <v>0</v>
      </c>
      <c r="D4" s="92">
        <f>C42</f>
        <v>-800</v>
      </c>
      <c r="E4" s="92">
        <f t="shared" ref="E4:N4" si="0">D42</f>
        <v>-800</v>
      </c>
      <c r="F4" s="92">
        <f t="shared" si="0"/>
        <v>-800</v>
      </c>
      <c r="G4" s="92">
        <f t="shared" si="0"/>
        <v>-800</v>
      </c>
      <c r="H4" s="92">
        <f t="shared" si="0"/>
        <v>-800</v>
      </c>
      <c r="I4" s="92">
        <f t="shared" si="0"/>
        <v>-800</v>
      </c>
      <c r="J4" s="92">
        <f t="shared" si="0"/>
        <v>-800</v>
      </c>
      <c r="K4" s="92">
        <f t="shared" si="0"/>
        <v>-800</v>
      </c>
      <c r="L4" s="92">
        <f t="shared" si="0"/>
        <v>-800</v>
      </c>
      <c r="M4" s="92">
        <f t="shared" si="0"/>
        <v>-800</v>
      </c>
      <c r="N4" s="92">
        <f t="shared" si="0"/>
        <v>-800</v>
      </c>
    </row>
    <row r="6" spans="1:15" x14ac:dyDescent="0.3">
      <c r="B6" s="30" t="s">
        <v>74</v>
      </c>
      <c r="C6" s="24">
        <f>ABS(SUMIFS(Transactions!$D:$D,Transactions!$I:$I,Classifications!B$49,Transactions!$H:$H,$B6))</f>
        <v>0</v>
      </c>
      <c r="D6" s="24">
        <f>ABS(SUMIFS(Transactions!$D:$D,Transactions!$I:$I,Classifications!C$49,Transactions!$H:$H,$B6))</f>
        <v>0</v>
      </c>
      <c r="E6" s="24">
        <f>ABS(SUMIFS(Transactions!$D:$D,Transactions!$I:$I,Classifications!D$49,Transactions!$H:$H,$B6))</f>
        <v>0</v>
      </c>
      <c r="F6" s="24">
        <f>ABS(SUMIFS(Transactions!$D:$D,Transactions!$I:$I,Classifications!E$49,Transactions!$H:$H,$B6))</f>
        <v>0</v>
      </c>
      <c r="G6" s="24">
        <f>ABS(SUMIFS(Transactions!$D:$D,Transactions!$I:$I,Classifications!F$49,Transactions!$H:$H,$B6))</f>
        <v>0</v>
      </c>
      <c r="H6" s="24">
        <f>ABS(SUMIFS(Transactions!$D:$D,Transactions!$I:$I,Classifications!G$49,Transactions!$H:$H,$B6))</f>
        <v>0</v>
      </c>
      <c r="I6" s="24">
        <f>ABS(SUMIFS(Transactions!$D:$D,Transactions!$I:$I,Classifications!H$49,Transactions!$H:$H,$B6))</f>
        <v>0</v>
      </c>
      <c r="J6" s="24">
        <f>ABS(SUMIFS(Transactions!$D:$D,Transactions!$I:$I,Classifications!I$49,Transactions!$H:$H,$B6))</f>
        <v>0</v>
      </c>
      <c r="K6" s="24">
        <f>ABS(SUMIFS(Transactions!$D:$D,Transactions!$I:$I,Classifications!J$49,Transactions!$H:$H,$B6))</f>
        <v>0</v>
      </c>
      <c r="L6" s="24">
        <f>ABS(SUMIFS(Transactions!$D:$D,Transactions!$I:$I,Classifications!K$49,Transactions!$H:$H,$B6))</f>
        <v>0</v>
      </c>
      <c r="M6" s="24">
        <f>ABS(SUMIFS(Transactions!$D:$D,Transactions!$I:$I,Classifications!L$49,Transactions!$H:$H,$B6))</f>
        <v>0</v>
      </c>
      <c r="N6" s="24">
        <f>ABS(SUMIFS(Transactions!$D:$D,Transactions!$I:$I,Classifications!M$49,Transactions!$H:$H,$B6))</f>
        <v>0</v>
      </c>
    </row>
    <row r="7" spans="1:15" x14ac:dyDescent="0.3">
      <c r="B7" s="30" t="s">
        <v>73</v>
      </c>
      <c r="C7" s="24">
        <f>ABS(SUMIFS(Transactions!$E:$E,Transactions!$I:$I,Classifications!B$49,Transactions!$H:$H,$B7))</f>
        <v>0</v>
      </c>
      <c r="D7" s="24">
        <f>ABS(SUMIFS(Transactions!$E:$E,Transactions!$I:$I,Classifications!C$49,Transactions!$H:$H,$B7))</f>
        <v>0</v>
      </c>
      <c r="E7" s="24">
        <f>ABS(SUMIFS(Transactions!$E:$E,Transactions!$I:$I,Classifications!D$49,Transactions!$H:$H,$B7))</f>
        <v>0</v>
      </c>
      <c r="F7" s="24">
        <f>ABS(SUMIFS(Transactions!$E:$E,Transactions!$I:$I,Classifications!E$49,Transactions!$H:$H,$B7))</f>
        <v>0</v>
      </c>
      <c r="G7" s="24">
        <f>ABS(SUMIFS(Transactions!$E:$E,Transactions!$I:$I,Classifications!F$49,Transactions!$H:$H,$B7))</f>
        <v>0</v>
      </c>
      <c r="H7" s="24">
        <f>ABS(SUMIFS(Transactions!$E:$E,Transactions!$I:$I,Classifications!G$49,Transactions!$H:$H,$B7))</f>
        <v>0</v>
      </c>
      <c r="I7" s="24">
        <f>ABS(SUMIFS(Transactions!$E:$E,Transactions!$I:$I,Classifications!H$49,Transactions!$H:$H,$B7))</f>
        <v>0</v>
      </c>
      <c r="J7" s="24">
        <f>ABS(SUMIFS(Transactions!$E:$E,Transactions!$I:$I,Classifications!I$49,Transactions!$H:$H,$B7))</f>
        <v>0</v>
      </c>
      <c r="K7" s="24">
        <f>ABS(SUMIFS(Transactions!$E:$E,Transactions!$I:$I,Classifications!J$49,Transactions!$H:$H,$B7))</f>
        <v>0</v>
      </c>
      <c r="L7" s="24">
        <f>ABS(SUMIFS(Transactions!$E:$E,Transactions!$I:$I,Classifications!K$49,Transactions!$H:$H,$B7))</f>
        <v>0</v>
      </c>
      <c r="M7" s="24">
        <f>ABS(SUMIFS(Transactions!$E:$E,Transactions!$I:$I,Classifications!L$49,Transactions!$H:$H,$B7))</f>
        <v>0</v>
      </c>
      <c r="N7" s="24">
        <f>ABS(SUMIFS(Transactions!$E:$E,Transactions!$I:$I,Classifications!M$49,Transactions!$H:$H,$B7))</f>
        <v>0</v>
      </c>
    </row>
    <row r="8" spans="1:15" x14ac:dyDescent="0.3">
      <c r="B8" s="95" t="s">
        <v>75</v>
      </c>
      <c r="C8" s="96">
        <f>C6-C7</f>
        <v>0</v>
      </c>
      <c r="D8" s="96">
        <f t="shared" ref="D8:N8" si="1">D6-D7</f>
        <v>0</v>
      </c>
      <c r="E8" s="96">
        <f t="shared" si="1"/>
        <v>0</v>
      </c>
      <c r="F8" s="96">
        <f t="shared" si="1"/>
        <v>0</v>
      </c>
      <c r="G8" s="96">
        <f t="shared" si="1"/>
        <v>0</v>
      </c>
      <c r="H8" s="96">
        <f t="shared" si="1"/>
        <v>0</v>
      </c>
      <c r="I8" s="96">
        <f t="shared" si="1"/>
        <v>0</v>
      </c>
      <c r="J8" s="96">
        <f t="shared" si="1"/>
        <v>0</v>
      </c>
      <c r="K8" s="96">
        <f t="shared" si="1"/>
        <v>0</v>
      </c>
      <c r="L8" s="96">
        <f t="shared" si="1"/>
        <v>0</v>
      </c>
      <c r="M8" s="96">
        <f t="shared" si="1"/>
        <v>0</v>
      </c>
      <c r="N8" s="96">
        <f t="shared" si="1"/>
        <v>0</v>
      </c>
      <c r="O8" s="81">
        <f>SUM(C8:N8)</f>
        <v>0</v>
      </c>
    </row>
    <row r="9" spans="1:15" x14ac:dyDescent="0.3">
      <c r="O9" s="81"/>
    </row>
    <row r="10" spans="1:15" x14ac:dyDescent="0.3">
      <c r="B10" s="20" t="s">
        <v>4</v>
      </c>
      <c r="C10" s="19">
        <f>ABS(SUMIFS(Transactions!$E:$E,Transactions!$I:$I,Classifications!B$49,Transactions!$H:$H,$B10))</f>
        <v>0</v>
      </c>
      <c r="D10" s="19">
        <f>ABS(SUMIFS(Transactions!$E:$E,Transactions!$I:$I,Classifications!C$49,Transactions!$H:$H,$B10))</f>
        <v>0</v>
      </c>
      <c r="E10" s="19">
        <f>ABS(SUMIFS(Transactions!$E:$E,Transactions!$I:$I,Classifications!D$49,Transactions!$H:$H,$B10))</f>
        <v>0</v>
      </c>
      <c r="F10" s="19">
        <f>ABS(SUMIFS(Transactions!$E:$E,Transactions!$I:$I,Classifications!E$49,Transactions!$H:$H,$B10))</f>
        <v>0</v>
      </c>
      <c r="G10" s="19">
        <f>ABS(SUMIFS(Transactions!$E:$E,Transactions!$I:$I,Classifications!F$49,Transactions!$H:$H,$B10))</f>
        <v>0</v>
      </c>
      <c r="H10" s="19">
        <f>ABS(SUMIFS(Transactions!$E:$E,Transactions!$I:$I,Classifications!G$49,Transactions!$H:$H,$B10))</f>
        <v>0</v>
      </c>
      <c r="I10" s="19">
        <f>ABS(SUMIFS(Transactions!$E:$E,Transactions!$I:$I,Classifications!H$49,Transactions!$H:$H,$B10))</f>
        <v>0</v>
      </c>
      <c r="J10" s="19">
        <f>ABS(SUMIFS(Transactions!$E:$E,Transactions!$I:$I,Classifications!I$49,Transactions!$H:$H,$B10))</f>
        <v>0</v>
      </c>
      <c r="K10" s="19">
        <f>ABS(SUMIFS(Transactions!$E:$E,Transactions!$I:$I,Classifications!J$49,Transactions!$H:$H,$B10))</f>
        <v>0</v>
      </c>
      <c r="L10" s="19">
        <f>ABS(SUMIFS(Transactions!$E:$E,Transactions!$I:$I,Classifications!K$49,Transactions!$H:$H,$B10))</f>
        <v>0</v>
      </c>
      <c r="M10" s="19">
        <f>ABS(SUMIFS(Transactions!$E:$E,Transactions!$I:$I,Classifications!L$49,Transactions!$H:$H,$B10))</f>
        <v>0</v>
      </c>
      <c r="N10" s="19">
        <f>ABS(SUMIFS(Transactions!$E:$E,Transactions!$I:$I,Classifications!M$49,Transactions!$H:$H,$B10))</f>
        <v>0</v>
      </c>
      <c r="O10" s="81">
        <f t="shared" ref="O10:O39" si="2">SUM(C10:N10)</f>
        <v>0</v>
      </c>
    </row>
    <row r="11" spans="1:15" x14ac:dyDescent="0.3">
      <c r="B11" s="20" t="s">
        <v>17</v>
      </c>
      <c r="C11" s="19">
        <f>ABS(SUMIFS(Transactions!$E:$E,Transactions!$I:$I,Classifications!B$49,Transactions!$H:$H,$B11))</f>
        <v>0</v>
      </c>
      <c r="D11" s="19">
        <f>ABS(SUMIFS(Transactions!$E:$E,Transactions!$I:$I,Classifications!C$49,Transactions!$H:$H,$B11))</f>
        <v>0</v>
      </c>
      <c r="E11" s="19">
        <f>ABS(SUMIFS(Transactions!$E:$E,Transactions!$I:$I,Classifications!D$49,Transactions!$H:$H,$B11))</f>
        <v>0</v>
      </c>
      <c r="F11" s="19">
        <f>ABS(SUMIFS(Transactions!$E:$E,Transactions!$I:$I,Classifications!E$49,Transactions!$H:$H,$B11))</f>
        <v>0</v>
      </c>
      <c r="G11" s="19">
        <f>ABS(SUMIFS(Transactions!$E:$E,Transactions!$I:$I,Classifications!F$49,Transactions!$H:$H,$B11))</f>
        <v>0</v>
      </c>
      <c r="H11" s="19">
        <f>ABS(SUMIFS(Transactions!$E:$E,Transactions!$I:$I,Classifications!G$49,Transactions!$H:$H,$B11))</f>
        <v>0</v>
      </c>
      <c r="I11" s="19">
        <f>ABS(SUMIFS(Transactions!$E:$E,Transactions!$I:$I,Classifications!H$49,Transactions!$H:$H,$B11))</f>
        <v>0</v>
      </c>
      <c r="J11" s="19">
        <f>ABS(SUMIFS(Transactions!$E:$E,Transactions!$I:$I,Classifications!I$49,Transactions!$H:$H,$B11))</f>
        <v>0</v>
      </c>
      <c r="K11" s="19">
        <f>ABS(SUMIFS(Transactions!$E:$E,Transactions!$I:$I,Classifications!J$49,Transactions!$H:$H,$B11))</f>
        <v>0</v>
      </c>
      <c r="L11" s="19">
        <f>ABS(SUMIFS(Transactions!$E:$E,Transactions!$I:$I,Classifications!K$49,Transactions!$H:$H,$B11))</f>
        <v>0</v>
      </c>
      <c r="M11" s="19">
        <f>ABS(SUMIFS(Transactions!$E:$E,Transactions!$I:$I,Classifications!L$49,Transactions!$H:$H,$B11))</f>
        <v>0</v>
      </c>
      <c r="N11" s="19">
        <f>ABS(SUMIFS(Transactions!$E:$E,Transactions!$I:$I,Classifications!M$49,Transactions!$H:$H,$B11))</f>
        <v>0</v>
      </c>
      <c r="O11" s="81">
        <f t="shared" si="2"/>
        <v>0</v>
      </c>
    </row>
    <row r="12" spans="1:15" x14ac:dyDescent="0.3">
      <c r="B12" s="20" t="s">
        <v>18</v>
      </c>
      <c r="C12" s="19">
        <f>ABS(SUMIFS(Transactions!$E:$E,Transactions!$I:$I,Classifications!B$49,Transactions!$H:$H,$B12))</f>
        <v>0</v>
      </c>
      <c r="D12" s="19">
        <f>ABS(SUMIFS(Transactions!$E:$E,Transactions!$I:$I,Classifications!C$49,Transactions!$H:$H,$B12))</f>
        <v>0</v>
      </c>
      <c r="E12" s="19">
        <f>ABS(SUMIFS(Transactions!$E:$E,Transactions!$I:$I,Classifications!D$49,Transactions!$H:$H,$B12))</f>
        <v>0</v>
      </c>
      <c r="F12" s="19">
        <f>ABS(SUMIFS(Transactions!$E:$E,Transactions!$I:$I,Classifications!E$49,Transactions!$H:$H,$B12))</f>
        <v>0</v>
      </c>
      <c r="G12" s="19">
        <f>ABS(SUMIFS(Transactions!$E:$E,Transactions!$I:$I,Classifications!F$49,Transactions!$H:$H,$B12))</f>
        <v>0</v>
      </c>
      <c r="H12" s="19">
        <f>ABS(SUMIFS(Transactions!$E:$E,Transactions!$I:$I,Classifications!G$49,Transactions!$H:$H,$B12))</f>
        <v>0</v>
      </c>
      <c r="I12" s="19">
        <f>ABS(SUMIFS(Transactions!$E:$E,Transactions!$I:$I,Classifications!H$49,Transactions!$H:$H,$B12))</f>
        <v>0</v>
      </c>
      <c r="J12" s="19">
        <f>ABS(SUMIFS(Transactions!$E:$E,Transactions!$I:$I,Classifications!I$49,Transactions!$H:$H,$B12))</f>
        <v>0</v>
      </c>
      <c r="K12" s="19">
        <f>ABS(SUMIFS(Transactions!$E:$E,Transactions!$I:$I,Classifications!J$49,Transactions!$H:$H,$B12))</f>
        <v>0</v>
      </c>
      <c r="L12" s="19">
        <f>ABS(SUMIFS(Transactions!$E:$E,Transactions!$I:$I,Classifications!K$49,Transactions!$H:$H,$B12))</f>
        <v>0</v>
      </c>
      <c r="M12" s="19">
        <f>ABS(SUMIFS(Transactions!$E:$E,Transactions!$I:$I,Classifications!L$49,Transactions!$H:$H,$B12))</f>
        <v>0</v>
      </c>
      <c r="N12" s="19">
        <f>ABS(SUMIFS(Transactions!$E:$E,Transactions!$I:$I,Classifications!M$49,Transactions!$H:$H,$B12))</f>
        <v>0</v>
      </c>
      <c r="O12" s="81">
        <f t="shared" si="2"/>
        <v>0</v>
      </c>
    </row>
    <row r="13" spans="1:15" x14ac:dyDescent="0.3">
      <c r="B13" s="20" t="s">
        <v>2</v>
      </c>
      <c r="C13" s="19">
        <f>ABS(SUMIFS(Transactions!$E:$E,Transactions!$I:$I,Classifications!B$49,Transactions!$H:$H,$B13))</f>
        <v>0</v>
      </c>
      <c r="D13" s="19">
        <f>ABS(SUMIFS(Transactions!$E:$E,Transactions!$I:$I,Classifications!C$49,Transactions!$H:$H,$B13))</f>
        <v>0</v>
      </c>
      <c r="E13" s="19">
        <f>ABS(SUMIFS(Transactions!$E:$E,Transactions!$I:$I,Classifications!D$49,Transactions!$H:$H,$B13))</f>
        <v>0</v>
      </c>
      <c r="F13" s="19">
        <f>ABS(SUMIFS(Transactions!$E:$E,Transactions!$I:$I,Classifications!E$49,Transactions!$H:$H,$B13))</f>
        <v>0</v>
      </c>
      <c r="G13" s="19">
        <f>ABS(SUMIFS(Transactions!$E:$E,Transactions!$I:$I,Classifications!F$49,Transactions!$H:$H,$B13))</f>
        <v>0</v>
      </c>
      <c r="H13" s="19">
        <f>ABS(SUMIFS(Transactions!$E:$E,Transactions!$I:$I,Classifications!G$49,Transactions!$H:$H,$B13))</f>
        <v>0</v>
      </c>
      <c r="I13" s="19">
        <f>ABS(SUMIFS(Transactions!$E:$E,Transactions!$I:$I,Classifications!H$49,Transactions!$H:$H,$B13))</f>
        <v>0</v>
      </c>
      <c r="J13" s="19">
        <f>ABS(SUMIFS(Transactions!$E:$E,Transactions!$I:$I,Classifications!I$49,Transactions!$H:$H,$B13))</f>
        <v>0</v>
      </c>
      <c r="K13" s="19">
        <f>ABS(SUMIFS(Transactions!$E:$E,Transactions!$I:$I,Classifications!J$49,Transactions!$H:$H,$B13))</f>
        <v>0</v>
      </c>
      <c r="L13" s="19">
        <f>ABS(SUMIFS(Transactions!$E:$E,Transactions!$I:$I,Classifications!K$49,Transactions!$H:$H,$B13))</f>
        <v>0</v>
      </c>
      <c r="M13" s="19">
        <f>ABS(SUMIFS(Transactions!$E:$E,Transactions!$I:$I,Classifications!L$49,Transactions!$H:$H,$B13))</f>
        <v>0</v>
      </c>
      <c r="N13" s="19">
        <f>ABS(SUMIFS(Transactions!$E:$E,Transactions!$I:$I,Classifications!M$49,Transactions!$H:$H,$B13))</f>
        <v>0</v>
      </c>
      <c r="O13" s="81">
        <f t="shared" si="2"/>
        <v>0</v>
      </c>
    </row>
    <row r="14" spans="1:15" x14ac:dyDescent="0.3">
      <c r="B14" s="20" t="s">
        <v>19</v>
      </c>
      <c r="C14" s="19">
        <f>ABS(SUMIFS(Transactions!$E:$E,Transactions!$I:$I,Classifications!B$49,Transactions!$H:$H,$B14))</f>
        <v>0</v>
      </c>
      <c r="D14" s="19">
        <f>ABS(SUMIFS(Transactions!$E:$E,Transactions!$I:$I,Classifications!C$49,Transactions!$H:$H,$B14))</f>
        <v>0</v>
      </c>
      <c r="E14" s="19">
        <f>ABS(SUMIFS(Transactions!$E:$E,Transactions!$I:$I,Classifications!D$49,Transactions!$H:$H,$B14))</f>
        <v>0</v>
      </c>
      <c r="F14" s="19">
        <f>ABS(SUMIFS(Transactions!$E:$E,Transactions!$I:$I,Classifications!E$49,Transactions!$H:$H,$B14))</f>
        <v>0</v>
      </c>
      <c r="G14" s="19">
        <f>ABS(SUMIFS(Transactions!$E:$E,Transactions!$I:$I,Classifications!F$49,Transactions!$H:$H,$B14))</f>
        <v>0</v>
      </c>
      <c r="H14" s="19">
        <f>ABS(SUMIFS(Transactions!$E:$E,Transactions!$I:$I,Classifications!G$49,Transactions!$H:$H,$B14))</f>
        <v>0</v>
      </c>
      <c r="I14" s="19">
        <f>ABS(SUMIFS(Transactions!$E:$E,Transactions!$I:$I,Classifications!H$49,Transactions!$H:$H,$B14))</f>
        <v>0</v>
      </c>
      <c r="J14" s="19">
        <f>ABS(SUMIFS(Transactions!$E:$E,Transactions!$I:$I,Classifications!I$49,Transactions!$H:$H,$B14))</f>
        <v>0</v>
      </c>
      <c r="K14" s="19">
        <f>ABS(SUMIFS(Transactions!$E:$E,Transactions!$I:$I,Classifications!J$49,Transactions!$H:$H,$B14))</f>
        <v>0</v>
      </c>
      <c r="L14" s="19">
        <f>ABS(SUMIFS(Transactions!$E:$E,Transactions!$I:$I,Classifications!K$49,Transactions!$H:$H,$B14))</f>
        <v>0</v>
      </c>
      <c r="M14" s="19">
        <f>ABS(SUMIFS(Transactions!$E:$E,Transactions!$I:$I,Classifications!L$49,Transactions!$H:$H,$B14))</f>
        <v>0</v>
      </c>
      <c r="N14" s="19">
        <f>ABS(SUMIFS(Transactions!$E:$E,Transactions!$I:$I,Classifications!M$49,Transactions!$H:$H,$B14))</f>
        <v>0</v>
      </c>
      <c r="O14" s="81">
        <f t="shared" si="2"/>
        <v>0</v>
      </c>
    </row>
    <row r="15" spans="1:15" x14ac:dyDescent="0.3">
      <c r="B15" s="20" t="s">
        <v>21</v>
      </c>
      <c r="C15" s="19">
        <f>ABS(SUMIFS(Transactions!$E:$E,Transactions!$I:$I,Classifications!B$49,Transactions!$H:$H,$B15))</f>
        <v>0</v>
      </c>
      <c r="D15" s="19">
        <f>ABS(SUMIFS(Transactions!$E:$E,Transactions!$I:$I,Classifications!C$49,Transactions!$H:$H,$B15))</f>
        <v>0</v>
      </c>
      <c r="E15" s="19">
        <f>ABS(SUMIFS(Transactions!$E:$E,Transactions!$I:$I,Classifications!D$49,Transactions!$H:$H,$B15))</f>
        <v>0</v>
      </c>
      <c r="F15" s="19">
        <f>ABS(SUMIFS(Transactions!$E:$E,Transactions!$I:$I,Classifications!E$49,Transactions!$H:$H,$B15))</f>
        <v>0</v>
      </c>
      <c r="G15" s="19">
        <f>ABS(SUMIFS(Transactions!$E:$E,Transactions!$I:$I,Classifications!F$49,Transactions!$H:$H,$B15))</f>
        <v>0</v>
      </c>
      <c r="H15" s="19">
        <f>ABS(SUMIFS(Transactions!$E:$E,Transactions!$I:$I,Classifications!G$49,Transactions!$H:$H,$B15))</f>
        <v>0</v>
      </c>
      <c r="I15" s="19">
        <f>ABS(SUMIFS(Transactions!$E:$E,Transactions!$I:$I,Classifications!H$49,Transactions!$H:$H,$B15))</f>
        <v>0</v>
      </c>
      <c r="J15" s="19">
        <f>ABS(SUMIFS(Transactions!$E:$E,Transactions!$I:$I,Classifications!I$49,Transactions!$H:$H,$B15))</f>
        <v>0</v>
      </c>
      <c r="K15" s="19">
        <f>ABS(SUMIFS(Transactions!$E:$E,Transactions!$I:$I,Classifications!J$49,Transactions!$H:$H,$B15))</f>
        <v>0</v>
      </c>
      <c r="L15" s="19">
        <f>ABS(SUMIFS(Transactions!$E:$E,Transactions!$I:$I,Classifications!K$49,Transactions!$H:$H,$B15))</f>
        <v>0</v>
      </c>
      <c r="M15" s="19">
        <f>ABS(SUMIFS(Transactions!$E:$E,Transactions!$I:$I,Classifications!L$49,Transactions!$H:$H,$B15))</f>
        <v>0</v>
      </c>
      <c r="N15" s="19">
        <f>ABS(SUMIFS(Transactions!$E:$E,Transactions!$I:$I,Classifications!M$49,Transactions!$H:$H,$B15))</f>
        <v>0</v>
      </c>
      <c r="O15" s="81">
        <f t="shared" si="2"/>
        <v>0</v>
      </c>
    </row>
    <row r="16" spans="1:15" x14ac:dyDescent="0.3">
      <c r="B16" s="20" t="s">
        <v>22</v>
      </c>
      <c r="C16" s="19">
        <f>ABS(SUMIFS(Transactions!$E:$E,Transactions!$I:$I,Classifications!B$49,Transactions!$H:$H,$B16))</f>
        <v>0</v>
      </c>
      <c r="D16" s="19">
        <f>ABS(SUMIFS(Transactions!$E:$E,Transactions!$I:$I,Classifications!C$49,Transactions!$H:$H,$B16))</f>
        <v>0</v>
      </c>
      <c r="E16" s="19">
        <f>ABS(SUMIFS(Transactions!$E:$E,Transactions!$I:$I,Classifications!D$49,Transactions!$H:$H,$B16))</f>
        <v>0</v>
      </c>
      <c r="F16" s="19">
        <f>ABS(SUMIFS(Transactions!$E:$E,Transactions!$I:$I,Classifications!E$49,Transactions!$H:$H,$B16))</f>
        <v>0</v>
      </c>
      <c r="G16" s="19">
        <f>ABS(SUMIFS(Transactions!$E:$E,Transactions!$I:$I,Classifications!F$49,Transactions!$H:$H,$B16))</f>
        <v>0</v>
      </c>
      <c r="H16" s="19" t="s">
        <v>181</v>
      </c>
      <c r="I16" s="19">
        <f>ABS(SUMIFS(Transactions!$E:$E,Transactions!$I:$I,Classifications!H$49,Transactions!$H:$H,$B16))</f>
        <v>0</v>
      </c>
      <c r="J16" s="19">
        <f>ABS(SUMIFS(Transactions!$E:$E,Transactions!$I:$I,Classifications!I$49,Transactions!$H:$H,$B16))</f>
        <v>0</v>
      </c>
      <c r="K16" s="19">
        <f>ABS(SUMIFS(Transactions!$E:$E,Transactions!$I:$I,Classifications!J$49,Transactions!$H:$H,$B16))</f>
        <v>0</v>
      </c>
      <c r="L16" s="19">
        <f>ABS(SUMIFS(Transactions!$E:$E,Transactions!$I:$I,Classifications!K$49,Transactions!$H:$H,$B16))</f>
        <v>0</v>
      </c>
      <c r="M16" s="19">
        <f>ABS(SUMIFS(Transactions!$E:$E,Transactions!$I:$I,Classifications!L$49,Transactions!$H:$H,$B16))</f>
        <v>0</v>
      </c>
      <c r="N16" s="19">
        <f>ABS(SUMIFS(Transactions!$E:$E,Transactions!$I:$I,Classifications!M$49,Transactions!$H:$H,$B16))</f>
        <v>0</v>
      </c>
      <c r="O16" s="81">
        <f t="shared" si="2"/>
        <v>0</v>
      </c>
    </row>
    <row r="17" spans="2:15" x14ac:dyDescent="0.3">
      <c r="B17" s="21" t="s">
        <v>133</v>
      </c>
      <c r="C17" s="19">
        <f>ABS(SUMIFS(Transactions!$E:$E,Transactions!$I:$I,Classifications!B$49,Transactions!$H:$H,"*mortgage*"))</f>
        <v>0</v>
      </c>
      <c r="D17" s="19">
        <f>ABS(SUMIFS(Transactions!$E:$E,Transactions!$I:$I,Classifications!C$49,Transactions!$H:$H,"*mortgage*"))</f>
        <v>0</v>
      </c>
      <c r="E17" s="19">
        <f>ABS(SUMIFS(Transactions!$E:$E,Transactions!$I:$I,Classifications!D$49,Transactions!$H:$H,"*mortgage*"))</f>
        <v>0</v>
      </c>
      <c r="F17" s="19">
        <f>ABS(SUMIFS(Transactions!$E:$E,Transactions!$I:$I,Classifications!E$49,Transactions!$H:$H,"*mortgage*"))</f>
        <v>0</v>
      </c>
      <c r="G17" s="19">
        <f>ABS(SUMIFS(Transactions!$E:$E,Transactions!$I:$I,Classifications!F$49,Transactions!$H:$H,"*mortgage*"))</f>
        <v>0</v>
      </c>
      <c r="H17" s="19">
        <f>ABS(SUMIFS(Transactions!$E:$E,Transactions!$I:$I,Classifications!G$49,Transactions!$H:$H,"*mortgage*"))</f>
        <v>0</v>
      </c>
      <c r="I17" s="19">
        <f>ABS(SUMIFS(Transactions!$E:$E,Transactions!$I:$I,Classifications!H$49,Transactions!$H:$H,"*mortgage*"))</f>
        <v>0</v>
      </c>
      <c r="J17" s="19">
        <f>ABS(SUMIFS(Transactions!$E:$E,Transactions!$I:$I,Classifications!I$49,Transactions!$H:$H,"*mortgage*"))</f>
        <v>0</v>
      </c>
      <c r="K17" s="19">
        <f>ABS(SUMIFS(Transactions!$E:$E,Transactions!$I:$I,Classifications!J$49,Transactions!$H:$H,"*mortgage*"))</f>
        <v>0</v>
      </c>
      <c r="L17" s="19">
        <f>ABS(SUMIFS(Transactions!$E:$E,Transactions!$I:$I,Classifications!K$49,Transactions!$H:$H,"*mortgage*"))</f>
        <v>0</v>
      </c>
      <c r="M17" s="19">
        <f>ABS(SUMIFS(Transactions!$E:$E,Transactions!$I:$I,Classifications!L$49,Transactions!$H:$H,"*mortgage*"))</f>
        <v>0</v>
      </c>
      <c r="N17" s="19">
        <f>ABS(SUMIFS(Transactions!$E:$E,Transactions!$I:$I,Classifications!M$49,Transactions!$H:$H,"*mortgage*"))</f>
        <v>0</v>
      </c>
      <c r="O17" s="81">
        <f t="shared" si="2"/>
        <v>0</v>
      </c>
    </row>
    <row r="18" spans="2:15" x14ac:dyDescent="0.3">
      <c r="B18" s="21" t="s">
        <v>134</v>
      </c>
      <c r="C18" s="19">
        <f>ABS(SUMIFS(Transactions!$E:$E,Transactions!$I:$I,Classifications!B$49,Transactions!$H:$H,$B18))</f>
        <v>0</v>
      </c>
      <c r="D18" s="19">
        <f>ABS(SUMIFS(Transactions!$E:$E,Transactions!$I:$I,Classifications!C$49,Transactions!$H:$H,$B18))</f>
        <v>0</v>
      </c>
      <c r="E18" s="19">
        <f>ABS(SUMIFS(Transactions!$E:$E,Transactions!$I:$I,Classifications!D$49,Transactions!$H:$H,$B18))</f>
        <v>0</v>
      </c>
      <c r="F18" s="19">
        <f>ABS(SUMIFS(Transactions!$E:$E,Transactions!$I:$I,Classifications!E$49,Transactions!$H:$H,$B18))</f>
        <v>0</v>
      </c>
      <c r="G18" s="19">
        <f>ABS(SUMIFS(Transactions!$E:$E,Transactions!$I:$I,Classifications!F$49,Transactions!$H:$H,$B18))</f>
        <v>0</v>
      </c>
      <c r="H18" s="19">
        <f>ABS(SUMIFS(Transactions!$E:$E,Transactions!$I:$I,Classifications!G$49,Transactions!$H:$H,$B18))</f>
        <v>0</v>
      </c>
      <c r="I18" s="19">
        <f>ABS(SUMIFS(Transactions!$E:$E,Transactions!$I:$I,Classifications!H$49,Transactions!$H:$H,$B18))</f>
        <v>0</v>
      </c>
      <c r="J18" s="19">
        <f>ABS(SUMIFS(Transactions!$E:$E,Transactions!$I:$I,Classifications!I$49,Transactions!$H:$H,$B18))</f>
        <v>0</v>
      </c>
      <c r="K18" s="19">
        <f>ABS(SUMIFS(Transactions!$E:$E,Transactions!$I:$I,Classifications!J$49,Transactions!$H:$H,$B18))</f>
        <v>0</v>
      </c>
      <c r="L18" s="19">
        <f>ABS(SUMIFS(Transactions!$E:$E,Transactions!$I:$I,Classifications!K$49,Transactions!$H:$H,$B18))</f>
        <v>0</v>
      </c>
      <c r="M18" s="19">
        <f>ABS(SUMIFS(Transactions!$E:$E,Transactions!$I:$I,Classifications!L$49,Transactions!$H:$H,$B18))</f>
        <v>0</v>
      </c>
      <c r="N18" s="19">
        <f>ABS(SUMIFS(Transactions!$E:$E,Transactions!$I:$I,Classifications!M$49,Transactions!$H:$H,$B18))</f>
        <v>0</v>
      </c>
      <c r="O18" s="81">
        <f t="shared" si="2"/>
        <v>0</v>
      </c>
    </row>
    <row r="19" spans="2:15" x14ac:dyDescent="0.3">
      <c r="B19" s="20" t="s">
        <v>25</v>
      </c>
      <c r="C19" s="19">
        <f>ABS(SUMIFS(Transactions!$E:$E,Transactions!$I:$I,Classifications!B$49,Transactions!$H:$H,$B19))</f>
        <v>0</v>
      </c>
      <c r="D19" s="19">
        <f>ABS(SUMIFS(Transactions!$E:$E,Transactions!$I:$I,Classifications!C$49,Transactions!$H:$H,$B19))</f>
        <v>0</v>
      </c>
      <c r="E19" s="19">
        <f>ABS(SUMIFS(Transactions!$E:$E,Transactions!$I:$I,Classifications!D$49,Transactions!$H:$H,$B19))</f>
        <v>0</v>
      </c>
      <c r="F19" s="19">
        <f>ABS(SUMIFS(Transactions!$E:$E,Transactions!$I:$I,Classifications!E$49,Transactions!$H:$H,$B19))</f>
        <v>0</v>
      </c>
      <c r="G19" s="19">
        <f>ABS(SUMIFS(Transactions!$E:$E,Transactions!$I:$I,Classifications!F$49,Transactions!$H:$H,$B19))</f>
        <v>0</v>
      </c>
      <c r="H19" s="19">
        <f>ABS(SUMIFS(Transactions!$E:$E,Transactions!$I:$I,Classifications!G$49,Transactions!$H:$H,$B19))</f>
        <v>0</v>
      </c>
      <c r="I19" s="19">
        <f>ABS(SUMIFS(Transactions!$E:$E,Transactions!$I:$I,Classifications!H$49,Transactions!$H:$H,$B19))</f>
        <v>0</v>
      </c>
      <c r="J19" s="19">
        <f>ABS(SUMIFS(Transactions!$E:$E,Transactions!$I:$I,Classifications!I$49,Transactions!$H:$H,$B19))</f>
        <v>0</v>
      </c>
      <c r="K19" s="19">
        <f>ABS(SUMIFS(Transactions!$E:$E,Transactions!$I:$I,Classifications!J$49,Transactions!$H:$H,$B19))</f>
        <v>0</v>
      </c>
      <c r="L19" s="19">
        <f>ABS(SUMIFS(Transactions!$E:$E,Transactions!$I:$I,Classifications!K$49,Transactions!$H:$H,$B19))</f>
        <v>0</v>
      </c>
      <c r="M19" s="19">
        <f>ABS(SUMIFS(Transactions!$E:$E,Transactions!$I:$I,Classifications!L$49,Transactions!$H:$H,$B19))</f>
        <v>0</v>
      </c>
      <c r="N19" s="19">
        <f>ABS(SUMIFS(Transactions!$E:$E,Transactions!$I:$I,Classifications!M$49,Transactions!$H:$H,$B19))</f>
        <v>0</v>
      </c>
      <c r="O19" s="81">
        <f t="shared" si="2"/>
        <v>0</v>
      </c>
    </row>
    <row r="20" spans="2:15" x14ac:dyDescent="0.3">
      <c r="B20" s="20" t="s">
        <v>26</v>
      </c>
      <c r="C20" s="19">
        <f>ABS(SUMIFS(Transactions!$E:$E,Transactions!$I:$I,Classifications!B$49,Transactions!$H:$H,$B20))</f>
        <v>0</v>
      </c>
      <c r="D20" s="19">
        <f>ABS(SUMIFS(Transactions!$E:$E,Transactions!$I:$I,Classifications!C$49,Transactions!$H:$H,$B20))</f>
        <v>0</v>
      </c>
      <c r="E20" s="19">
        <f>ABS(SUMIFS(Transactions!$E:$E,Transactions!$I:$I,Classifications!D$49,Transactions!$H:$H,$B20))</f>
        <v>0</v>
      </c>
      <c r="F20" s="19">
        <f>ABS(SUMIFS(Transactions!$E:$E,Transactions!$I:$I,Classifications!E$49,Transactions!$H:$H,$B20))</f>
        <v>0</v>
      </c>
      <c r="G20" s="19">
        <f>ABS(SUMIFS(Transactions!$E:$E,Transactions!$I:$I,Classifications!F$49,Transactions!$H:$H,$B20))</f>
        <v>0</v>
      </c>
      <c r="H20" s="19">
        <f>ABS(SUMIFS(Transactions!$E:$E,Transactions!$I:$I,Classifications!G$49,Transactions!$H:$H,$B20))</f>
        <v>0</v>
      </c>
      <c r="I20" s="19">
        <f>ABS(SUMIFS(Transactions!$E:$E,Transactions!$I:$I,Classifications!H$49,Transactions!$H:$H,$B20))</f>
        <v>0</v>
      </c>
      <c r="J20" s="19">
        <f>ABS(SUMIFS(Transactions!$E:$E,Transactions!$I:$I,Classifications!I$49,Transactions!$H:$H,$B20))</f>
        <v>0</v>
      </c>
      <c r="K20" s="19">
        <f>ABS(SUMIFS(Transactions!$E:$E,Transactions!$I:$I,Classifications!J$49,Transactions!$H:$H,$B20))</f>
        <v>0</v>
      </c>
      <c r="L20" s="19">
        <f>ABS(SUMIFS(Transactions!$E:$E,Transactions!$I:$I,Classifications!K$49,Transactions!$H:$H,$B20))</f>
        <v>0</v>
      </c>
      <c r="M20" s="19">
        <f>ABS(SUMIFS(Transactions!$E:$E,Transactions!$I:$I,Classifications!L$49,Transactions!$H:$H,$B20))</f>
        <v>0</v>
      </c>
      <c r="N20" s="19">
        <f>ABS(SUMIFS(Transactions!$E:$E,Transactions!$I:$I,Classifications!M$49,Transactions!$H:$H,$B20))</f>
        <v>0</v>
      </c>
      <c r="O20" s="81">
        <f t="shared" si="2"/>
        <v>0</v>
      </c>
    </row>
    <row r="21" spans="2:15" x14ac:dyDescent="0.3">
      <c r="B21" s="20" t="s">
        <v>27</v>
      </c>
      <c r="C21" s="19">
        <f>ABS(SUMIFS(Transactions!$E:$E,Transactions!$I:$I,Classifications!B$49,Transactions!$H:$H,$B21))</f>
        <v>0</v>
      </c>
      <c r="D21" s="19">
        <f>ABS(SUMIFS(Transactions!$E:$E,Transactions!$I:$I,Classifications!C$49,Transactions!$H:$H,$B21))</f>
        <v>0</v>
      </c>
      <c r="E21" s="19">
        <f>ABS(SUMIFS(Transactions!$E:$E,Transactions!$I:$I,Classifications!D$49,Transactions!$H:$H,$B21))</f>
        <v>0</v>
      </c>
      <c r="F21" s="19">
        <f>ABS(SUMIFS(Transactions!$E:$E,Transactions!$I:$I,Classifications!E$49,Transactions!$H:$H,$B21))</f>
        <v>0</v>
      </c>
      <c r="G21" s="19">
        <f>ABS(SUMIFS(Transactions!$E:$E,Transactions!$I:$I,Classifications!F$49,Transactions!$H:$H,$B21))</f>
        <v>0</v>
      </c>
      <c r="H21" s="19">
        <f>ABS(SUMIFS(Transactions!$E:$E,Transactions!$I:$I,Classifications!G$49,Transactions!$H:$H,$B21))</f>
        <v>0</v>
      </c>
      <c r="I21" s="19">
        <f>ABS(SUMIFS(Transactions!$E:$E,Transactions!$I:$I,Classifications!H$49,Transactions!$H:$H,$B21))</f>
        <v>0</v>
      </c>
      <c r="J21" s="19">
        <f>ABS(SUMIFS(Transactions!$E:$E,Transactions!$I:$I,Classifications!I$49,Transactions!$H:$H,$B21))</f>
        <v>0</v>
      </c>
      <c r="K21" s="19">
        <f>ABS(SUMIFS(Transactions!$E:$E,Transactions!$I:$I,Classifications!J$49,Transactions!$H:$H,$B21))</f>
        <v>0</v>
      </c>
      <c r="L21" s="19">
        <f>ABS(SUMIFS(Transactions!$E:$E,Transactions!$I:$I,Classifications!K$49,Transactions!$H:$H,$B21))</f>
        <v>0</v>
      </c>
      <c r="M21" s="19">
        <f>ABS(SUMIFS(Transactions!$E:$E,Transactions!$I:$I,Classifications!L$49,Transactions!$H:$H,$B21))</f>
        <v>0</v>
      </c>
      <c r="N21" s="19">
        <f>ABS(SUMIFS(Transactions!$E:$E,Transactions!$I:$I,Classifications!M$49,Transactions!$H:$H,$B21))</f>
        <v>0</v>
      </c>
      <c r="O21" s="81">
        <f t="shared" si="2"/>
        <v>0</v>
      </c>
    </row>
    <row r="22" spans="2:15" x14ac:dyDescent="0.3">
      <c r="B22" s="21" t="s">
        <v>135</v>
      </c>
      <c r="C22" s="19">
        <f>ABS(SUMIFS(Transactions!$E:$E,Transactions!$I:$I,Classifications!B$49,Transactions!$H:$H,$B22))</f>
        <v>0</v>
      </c>
      <c r="D22" s="19">
        <f>ABS(SUMIFS(Transactions!$E:$E,Transactions!$I:$I,Classifications!C$49,Transactions!$H:$H,$B22))</f>
        <v>0</v>
      </c>
      <c r="E22" s="19">
        <f>ABS(SUMIFS(Transactions!$E:$E,Transactions!$I:$I,Classifications!D$49,Transactions!$H:$H,$B22))</f>
        <v>0</v>
      </c>
      <c r="F22" s="19">
        <f>ABS(SUMIFS(Transactions!$E:$E,Transactions!$I:$I,Classifications!E$49,Transactions!$H:$H,$B22))</f>
        <v>0</v>
      </c>
      <c r="G22" s="19">
        <f>ABS(SUMIFS(Transactions!$E:$E,Transactions!$I:$I,Classifications!F$49,Transactions!$H:$H,$B22))</f>
        <v>0</v>
      </c>
      <c r="H22" s="19">
        <f>ABS(SUMIFS(Transactions!$E:$E,Transactions!$I:$I,Classifications!G$49,Transactions!$H:$H,$B22))</f>
        <v>0</v>
      </c>
      <c r="I22" s="19">
        <f>ABS(SUMIFS(Transactions!$E:$E,Transactions!$I:$I,Classifications!H$49,Transactions!$H:$H,$B22))</f>
        <v>0</v>
      </c>
      <c r="J22" s="19">
        <f>ABS(SUMIFS(Transactions!$E:$E,Transactions!$I:$I,Classifications!I$49,Transactions!$H:$H,$B22))</f>
        <v>0</v>
      </c>
      <c r="K22" s="19">
        <f>ABS(SUMIFS(Transactions!$E:$E,Transactions!$I:$I,Classifications!J$49,Transactions!$H:$H,$B22))</f>
        <v>0</v>
      </c>
      <c r="L22" s="19">
        <f>ABS(SUMIFS(Transactions!$E:$E,Transactions!$I:$I,Classifications!K$49,Transactions!$H:$H,$B22))</f>
        <v>0</v>
      </c>
      <c r="M22" s="19">
        <f>ABS(SUMIFS(Transactions!$E:$E,Transactions!$I:$I,Classifications!L$49,Transactions!$H:$H,$B22))</f>
        <v>0</v>
      </c>
      <c r="N22" s="19">
        <f>ABS(SUMIFS(Transactions!$E:$E,Transactions!$I:$I,Classifications!M$49,Transactions!$H:$H,$B22))</f>
        <v>0</v>
      </c>
      <c r="O22" s="81">
        <f t="shared" si="2"/>
        <v>0</v>
      </c>
    </row>
    <row r="23" spans="2:15" x14ac:dyDescent="0.3">
      <c r="B23" s="21" t="s">
        <v>136</v>
      </c>
      <c r="C23" s="19">
        <v>800</v>
      </c>
      <c r="D23" s="19">
        <f>ABS(SUMIFS(Transactions!$E:$E,Transactions!$I:$I,Classifications!C$49,Transactions!$H:$H,$B23))</f>
        <v>0</v>
      </c>
      <c r="E23" s="19">
        <f>ABS(SUMIFS(Transactions!$E:$E,Transactions!$I:$I,Classifications!D$49,Transactions!$H:$H,$B23))</f>
        <v>0</v>
      </c>
      <c r="F23" s="19">
        <f>ABS(SUMIFS(Transactions!$E:$E,Transactions!$I:$I,Classifications!E$49,Transactions!$H:$H,$B23))</f>
        <v>0</v>
      </c>
      <c r="G23" s="19">
        <f>ABS(SUMIFS(Transactions!$E:$E,Transactions!$I:$I,Classifications!F$49,Transactions!$H:$H,$B23))</f>
        <v>0</v>
      </c>
      <c r="H23" s="19">
        <f>ABS(SUMIFS(Transactions!$E:$E,Transactions!$I:$I,Classifications!G$49,Transactions!$H:$H,$B23))</f>
        <v>0</v>
      </c>
      <c r="I23" s="19">
        <f>ABS(SUMIFS(Transactions!$E:$E,Transactions!$I:$I,Classifications!H$49,Transactions!$H:$H,$B23))</f>
        <v>0</v>
      </c>
      <c r="J23" s="19">
        <f>ABS(SUMIFS(Transactions!$E:$E,Transactions!$I:$I,Classifications!I$49,Transactions!$H:$H,$B23))</f>
        <v>0</v>
      </c>
      <c r="K23" s="19">
        <f>ABS(SUMIFS(Transactions!$E:$E,Transactions!$I:$I,Classifications!J$49,Transactions!$H:$H,$B23))</f>
        <v>0</v>
      </c>
      <c r="L23" s="19">
        <f>ABS(SUMIFS(Transactions!$E:$E,Transactions!$I:$I,Classifications!K$49,Transactions!$H:$H,$B23))</f>
        <v>0</v>
      </c>
      <c r="M23" s="19">
        <f>ABS(SUMIFS(Transactions!$E:$E,Transactions!$I:$I,Classifications!L$49,Transactions!$H:$H,$B23))</f>
        <v>0</v>
      </c>
      <c r="N23" s="19">
        <f>ABS(SUMIFS(Transactions!$E:$E,Transactions!$I:$I,Classifications!M$49,Transactions!$H:$H,$B23))</f>
        <v>0</v>
      </c>
      <c r="O23" s="81">
        <f t="shared" si="2"/>
        <v>800</v>
      </c>
    </row>
    <row r="24" spans="2:15" x14ac:dyDescent="0.3">
      <c r="B24" s="20" t="s">
        <v>31</v>
      </c>
      <c r="C24" s="19">
        <f>ABS(SUMIFS(Transactions!$E:$E,Transactions!$I:$I,Classifications!B$49,Transactions!$H:$H,$B24))</f>
        <v>0</v>
      </c>
      <c r="D24" s="19">
        <f>ABS(SUMIFS(Transactions!$E:$E,Transactions!$I:$I,Classifications!C$49,Transactions!$H:$H,$B24))</f>
        <v>0</v>
      </c>
      <c r="E24" s="19">
        <f>ABS(SUMIFS(Transactions!$E:$E,Transactions!$I:$I,Classifications!D$49,Transactions!$H:$H,$B24))</f>
        <v>0</v>
      </c>
      <c r="F24" s="19">
        <f>ABS(SUMIFS(Transactions!$E:$E,Transactions!$I:$I,Classifications!E$49,Transactions!$H:$H,$B24))</f>
        <v>0</v>
      </c>
      <c r="G24" s="19">
        <f>ABS(SUMIFS(Transactions!$E:$E,Transactions!$I:$I,Classifications!F$49,Transactions!$H:$H,$B24))</f>
        <v>0</v>
      </c>
      <c r="H24" s="19">
        <f>ABS(SUMIFS(Transactions!$E:$E,Transactions!$I:$I,Classifications!G$49,Transactions!$H:$H,$B24))</f>
        <v>0</v>
      </c>
      <c r="I24" s="19">
        <f>ABS(SUMIFS(Transactions!$E:$E,Transactions!$I:$I,Classifications!H$49,Transactions!$H:$H,$B24))</f>
        <v>0</v>
      </c>
      <c r="J24" s="19">
        <f>ABS(SUMIFS(Transactions!$E:$E,Transactions!$I:$I,Classifications!I$49,Transactions!$H:$H,$B24))</f>
        <v>0</v>
      </c>
      <c r="K24" s="19">
        <f>ABS(SUMIFS(Transactions!$E:$E,Transactions!$I:$I,Classifications!J$49,Transactions!$H:$H,$B24))</f>
        <v>0</v>
      </c>
      <c r="L24" s="19">
        <f>ABS(SUMIFS(Transactions!$E:$E,Transactions!$I:$I,Classifications!K$49,Transactions!$H:$H,$B24))</f>
        <v>0</v>
      </c>
      <c r="M24" s="19">
        <f>ABS(SUMIFS(Transactions!$E:$E,Transactions!$I:$I,Classifications!L$49,Transactions!$H:$H,$B24))</f>
        <v>0</v>
      </c>
      <c r="N24" s="19">
        <f>ABS(SUMIFS(Transactions!$E:$E,Transactions!$I:$I,Classifications!M$49,Transactions!$H:$H,$B24))</f>
        <v>0</v>
      </c>
      <c r="O24" s="81">
        <f t="shared" si="2"/>
        <v>0</v>
      </c>
    </row>
    <row r="25" spans="2:15" x14ac:dyDescent="0.3">
      <c r="B25" s="20" t="s">
        <v>3</v>
      </c>
      <c r="C25" s="19">
        <f>ABS(SUMIFS(Transactions!$E:$E,Transactions!$I:$I,Classifications!B$49,Transactions!$H:$H,"*supplies*"))</f>
        <v>0</v>
      </c>
      <c r="D25" s="19">
        <f>ABS(SUMIFS(Transactions!$E:$E,Transactions!$I:$I,Classifications!C$49,Transactions!$H:$H,"*supplies*"))</f>
        <v>0</v>
      </c>
      <c r="E25" s="19">
        <f>ABS(SUMIFS(Transactions!$E:$E,Transactions!$I:$I,Classifications!D$49,Transactions!$H:$H,"*supplies*"))</f>
        <v>0</v>
      </c>
      <c r="F25" s="19">
        <f>ABS(SUMIFS(Transactions!$E:$E,Transactions!$I:$I,Classifications!E$49,Transactions!$H:$H,"*supplies*"))</f>
        <v>0</v>
      </c>
      <c r="G25" s="19">
        <f>ABS(SUMIFS(Transactions!$E:$E,Transactions!$I:$I,Classifications!F$49,Transactions!$H:$H,"*supplies*"))</f>
        <v>0</v>
      </c>
      <c r="H25" s="19">
        <f>ABS(SUMIFS(Transactions!$E:$E,Transactions!$I:$I,Classifications!G$49,Transactions!$H:$H,"*supplies*"))</f>
        <v>0</v>
      </c>
      <c r="I25" s="19">
        <f>ABS(SUMIFS(Transactions!$E:$E,Transactions!$I:$I,Classifications!H$49,Transactions!$H:$H,"*supplies*"))</f>
        <v>0</v>
      </c>
      <c r="J25" s="19">
        <f>ABS(SUMIFS(Transactions!$E:$E,Transactions!$I:$I,Classifications!I$49,Transactions!$H:$H,"*supplies*"))</f>
        <v>0</v>
      </c>
      <c r="K25" s="19">
        <f>ABS(SUMIFS(Transactions!$E:$E,Transactions!$I:$I,Classifications!J$49,Transactions!$H:$H,"*supplies*"))</f>
        <v>0</v>
      </c>
      <c r="L25" s="19">
        <f>ABS(SUMIFS(Transactions!$E:$E,Transactions!$I:$I,Classifications!K$49,Transactions!$H:$H,"*supplies*"))</f>
        <v>0</v>
      </c>
      <c r="M25" s="19">
        <f>ABS(SUMIFS(Transactions!$E:$E,Transactions!$I:$I,Classifications!L$49,Transactions!$H:$H,"*supplies*"))</f>
        <v>0</v>
      </c>
      <c r="N25" s="19">
        <f>ABS(SUMIFS(Transactions!$E:$E,Transactions!$I:$I,Classifications!M$49,Transactions!$H:$H,"*supplies*"))</f>
        <v>0</v>
      </c>
      <c r="O25" s="81">
        <f t="shared" si="2"/>
        <v>0</v>
      </c>
    </row>
    <row r="26" spans="2:15" x14ac:dyDescent="0.3">
      <c r="B26" s="20" t="s">
        <v>7</v>
      </c>
      <c r="C26" s="19">
        <f>ABS(SUMIFS(Transactions!$E:$E,Transactions!$I:$I,Classifications!B$49,Transactions!$H:$H,$B26))</f>
        <v>0</v>
      </c>
      <c r="D26" s="19">
        <f>ABS(SUMIFS(Transactions!$E:$E,Transactions!$I:$I,Classifications!C$49,Transactions!$H:$H,$B26))</f>
        <v>0</v>
      </c>
      <c r="E26" s="19">
        <f>ABS(SUMIFS(Transactions!$E:$E,Transactions!$I:$I,Classifications!D$49,Transactions!$H:$H,$B26))</f>
        <v>0</v>
      </c>
      <c r="F26" s="19">
        <f>ABS(SUMIFS(Transactions!$E:$E,Transactions!$I:$I,Classifications!E$49,Transactions!$H:$H,$B26))</f>
        <v>0</v>
      </c>
      <c r="G26" s="19">
        <f>ABS(SUMIFS(Transactions!$E:$E,Transactions!$I:$I,Classifications!F$49,Transactions!$H:$H,$B26))</f>
        <v>0</v>
      </c>
      <c r="H26" s="19">
        <f>ABS(SUMIFS(Transactions!$E:$E,Transactions!$I:$I,Classifications!G$49,Transactions!$H:$H,$B26))</f>
        <v>0</v>
      </c>
      <c r="I26" s="19">
        <f>ABS(SUMIFS(Transactions!$E:$E,Transactions!$I:$I,Classifications!H$49,Transactions!$H:$H,$B26))</f>
        <v>0</v>
      </c>
      <c r="J26" s="19">
        <f>ABS(SUMIFS(Transactions!$E:$E,Transactions!$I:$I,Classifications!I$49,Transactions!$H:$H,$B26))</f>
        <v>0</v>
      </c>
      <c r="K26" s="19">
        <f>ABS(SUMIFS(Transactions!$E:$E,Transactions!$I:$I,Classifications!J$49,Transactions!$H:$H,$B26))</f>
        <v>0</v>
      </c>
      <c r="L26" s="19">
        <f>ABS(SUMIFS(Transactions!$E:$E,Transactions!$I:$I,Classifications!K$49,Transactions!$H:$H,$B26))</f>
        <v>0</v>
      </c>
      <c r="M26" s="19">
        <f>ABS(SUMIFS(Transactions!$E:$E,Transactions!$I:$I,Classifications!L$49,Transactions!$H:$H,$B26))</f>
        <v>0</v>
      </c>
      <c r="N26" s="19">
        <f>ABS(SUMIFS(Transactions!$E:$E,Transactions!$I:$I,Classifications!M$49,Transactions!$H:$H,$B26))</f>
        <v>0</v>
      </c>
      <c r="O26" s="81">
        <f t="shared" si="2"/>
        <v>0</v>
      </c>
    </row>
    <row r="27" spans="2:15" x14ac:dyDescent="0.3">
      <c r="B27" s="21" t="s">
        <v>32</v>
      </c>
      <c r="C27" s="19">
        <f>ABS(SUMIFS(Transactions!$E:$E,Transactions!$I:$I,Classifications!B$49,Transactions!$H:$H,$B27))</f>
        <v>0</v>
      </c>
      <c r="D27" s="19">
        <f>ABS(SUMIFS(Transactions!$E:$E,Transactions!$I:$I,Classifications!C$49,Transactions!$H:$H,$B27))</f>
        <v>0</v>
      </c>
      <c r="E27" s="19">
        <f>ABS(SUMIFS(Transactions!$E:$E,Transactions!$I:$I,Classifications!D$49,Transactions!$H:$H,$B27))</f>
        <v>0</v>
      </c>
      <c r="F27" s="19">
        <f>ABS(SUMIFS(Transactions!$E:$E,Transactions!$I:$I,Classifications!E$49,Transactions!$H:$H,$B27))</f>
        <v>0</v>
      </c>
      <c r="G27" s="19">
        <f>ABS(SUMIFS(Transactions!$E:$E,Transactions!$I:$I,Classifications!F$49,Transactions!$H:$H,$B27))</f>
        <v>0</v>
      </c>
      <c r="H27" s="19">
        <f>ABS(SUMIFS(Transactions!$E:$E,Transactions!$I:$I,Classifications!G$49,Transactions!$H:$H,$B27))</f>
        <v>0</v>
      </c>
      <c r="I27" s="19">
        <f>ABS(SUMIFS(Transactions!$E:$E,Transactions!$I:$I,Classifications!H$49,Transactions!$H:$H,$B27))</f>
        <v>0</v>
      </c>
      <c r="J27" s="19">
        <f>ABS(SUMIFS(Transactions!$E:$E,Transactions!$I:$I,Classifications!I$49,Transactions!$H:$H,$B27))</f>
        <v>0</v>
      </c>
      <c r="K27" s="19">
        <f>ABS(SUMIFS(Transactions!$E:$E,Transactions!$I:$I,Classifications!J$49,Transactions!$H:$H,$B27))</f>
        <v>0</v>
      </c>
      <c r="L27" s="19">
        <f>ABS(SUMIFS(Transactions!$E:$E,Transactions!$I:$I,Classifications!K$49,Transactions!$H:$H,$B27))</f>
        <v>0</v>
      </c>
      <c r="M27" s="19">
        <f>ABS(SUMIFS(Transactions!$E:$E,Transactions!$I:$I,Classifications!L$49,Transactions!$H:$H,$B27))</f>
        <v>0</v>
      </c>
      <c r="N27" s="19">
        <f>ABS(SUMIFS(Transactions!$E:$E,Transactions!$I:$I,Classifications!M$49,Transactions!$H:$H,$B27))</f>
        <v>0</v>
      </c>
      <c r="O27" s="81">
        <f t="shared" si="2"/>
        <v>0</v>
      </c>
    </row>
    <row r="28" spans="2:15" x14ac:dyDescent="0.3">
      <c r="B28" s="21" t="s">
        <v>127</v>
      </c>
      <c r="C28" s="19">
        <f>ABS(SUMIFS(Transactions!$E:$E,Transactions!$I:$I,Classifications!B$49,Transactions!$H:$H,$B28))</f>
        <v>0</v>
      </c>
      <c r="D28" s="19">
        <f>ABS(SUMIFS(Transactions!$E:$E,Transactions!$I:$I,Classifications!C$49,Transactions!$H:$H,$B28))</f>
        <v>0</v>
      </c>
      <c r="E28" s="19">
        <f>ABS(SUMIFS(Transactions!$E:$E,Transactions!$I:$I,Classifications!D$49,Transactions!$H:$H,$B28))</f>
        <v>0</v>
      </c>
      <c r="F28" s="19">
        <f>ABS(SUMIFS(Transactions!$E:$E,Transactions!$I:$I,Classifications!E$49,Transactions!$H:$H,$B28))</f>
        <v>0</v>
      </c>
      <c r="G28" s="19">
        <f>ABS(SUMIFS(Transactions!$E:$E,Transactions!$I:$I,Classifications!F$49,Transactions!$H:$H,$B28))</f>
        <v>0</v>
      </c>
      <c r="H28" s="19">
        <f>ABS(SUMIFS(Transactions!$E:$E,Transactions!$I:$I,Classifications!G$49,Transactions!$H:$H,$B28))</f>
        <v>0</v>
      </c>
      <c r="I28" s="19">
        <f>ABS(SUMIFS(Transactions!$E:$E,Transactions!$I:$I,Classifications!H$49,Transactions!$H:$H,$B28))</f>
        <v>0</v>
      </c>
      <c r="J28" s="19">
        <f>ABS(SUMIFS(Transactions!$E:$E,Transactions!$I:$I,Classifications!I$49,Transactions!$H:$H,$B28))</f>
        <v>0</v>
      </c>
      <c r="K28" s="19">
        <f>ABS(SUMIFS(Transactions!$E:$E,Transactions!$I:$I,Classifications!J$49,Transactions!$H:$H,$B28))</f>
        <v>0</v>
      </c>
      <c r="L28" s="19">
        <f>ABS(SUMIFS(Transactions!$E:$E,Transactions!$I:$I,Classifications!K$49,Transactions!$H:$H,$B28))</f>
        <v>0</v>
      </c>
      <c r="M28" s="19">
        <f>ABS(SUMIFS(Transactions!$E:$E,Transactions!$I:$I,Classifications!L$49,Transactions!$H:$H,$B28))</f>
        <v>0</v>
      </c>
      <c r="N28" s="19">
        <f>ABS(SUMIFS(Transactions!$E:$E,Transactions!$I:$I,Classifications!M$49,Transactions!$H:$H,$B28))</f>
        <v>0</v>
      </c>
      <c r="O28" s="81">
        <f t="shared" si="2"/>
        <v>0</v>
      </c>
    </row>
    <row r="29" spans="2:15" x14ac:dyDescent="0.3">
      <c r="B29" s="20" t="s">
        <v>34</v>
      </c>
      <c r="C29" s="19">
        <f>ABS(SUMIFS(Transactions!$E:$E,Transactions!$I:$I,Classifications!B$49,Transactions!$H:$H,$B29))</f>
        <v>0</v>
      </c>
      <c r="D29" s="19">
        <f>ABS(SUMIFS(Transactions!$E:$E,Transactions!$I:$I,Classifications!C$49,Transactions!$H:$H,$B29))</f>
        <v>0</v>
      </c>
      <c r="E29" s="19">
        <f>ABS(SUMIFS(Transactions!$E:$E,Transactions!$I:$I,Classifications!D$49,Transactions!$H:$H,$B29))</f>
        <v>0</v>
      </c>
      <c r="F29" s="19">
        <f>ABS(SUMIFS(Transactions!$E:$E,Transactions!$I:$I,Classifications!E$49,Transactions!$H:$H,$B29))</f>
        <v>0</v>
      </c>
      <c r="G29" s="19">
        <f>ABS(SUMIFS(Transactions!$E:$E,Transactions!$I:$I,Classifications!F$49,Transactions!$H:$H,$B29))</f>
        <v>0</v>
      </c>
      <c r="H29" s="19">
        <f>ABS(SUMIFS(Transactions!$E:$E,Transactions!$I:$I,Classifications!G$49,Transactions!$H:$H,$B29))</f>
        <v>0</v>
      </c>
      <c r="I29" s="19">
        <f>ABS(SUMIFS(Transactions!$E:$E,Transactions!$I:$I,Classifications!H$49,Transactions!$H:$H,$B29))</f>
        <v>0</v>
      </c>
      <c r="J29" s="19">
        <f>ABS(SUMIFS(Transactions!$E:$E,Transactions!$I:$I,Classifications!I$49,Transactions!$H:$H,$B29))</f>
        <v>0</v>
      </c>
      <c r="K29" s="19">
        <f>ABS(SUMIFS(Transactions!$E:$E,Transactions!$I:$I,Classifications!J$49,Transactions!$H:$H,$B29))</f>
        <v>0</v>
      </c>
      <c r="L29" s="19">
        <f>ABS(SUMIFS(Transactions!$E:$E,Transactions!$I:$I,Classifications!K$49,Transactions!$H:$H,$B29))</f>
        <v>0</v>
      </c>
      <c r="M29" s="19">
        <f>ABS(SUMIFS(Transactions!$E:$E,Transactions!$I:$I,Classifications!L$49,Transactions!$H:$H,$B29))</f>
        <v>0</v>
      </c>
      <c r="N29" s="19">
        <f>ABS(SUMIFS(Transactions!$E:$E,Transactions!$I:$I,Classifications!M$49,Transactions!$H:$H,$B29))</f>
        <v>0</v>
      </c>
      <c r="O29" s="81">
        <f t="shared" si="2"/>
        <v>0</v>
      </c>
    </row>
    <row r="30" spans="2:15" x14ac:dyDescent="0.3">
      <c r="B30" s="20" t="s">
        <v>132</v>
      </c>
      <c r="C30" s="19">
        <f>ABS(SUMIFS(Transactions!$E:$E,Transactions!$I:$I,Classifications!B$49,Transactions!$H:$H,$B30))</f>
        <v>0</v>
      </c>
      <c r="D30" s="19">
        <f>ABS(SUMIFS(Transactions!$E:$E,Transactions!$I:$I,Classifications!C$49,Transactions!$H:$H,$B30))</f>
        <v>0</v>
      </c>
      <c r="E30" s="19">
        <f>ABS(SUMIFS(Transactions!$E:$E,Transactions!$I:$I,Classifications!D$49,Transactions!$H:$H,$B30))</f>
        <v>0</v>
      </c>
      <c r="F30" s="19">
        <f>ABS(SUMIFS(Transactions!$E:$E,Transactions!$I:$I,Classifications!E$49,Transactions!$H:$H,$B30))</f>
        <v>0</v>
      </c>
      <c r="G30" s="19">
        <f>ABS(SUMIFS(Transactions!$E:$E,Transactions!$I:$I,Classifications!F$49,Transactions!$H:$H,$B30))</f>
        <v>0</v>
      </c>
      <c r="H30" s="19">
        <f>ABS(SUMIFS(Transactions!$E:$E,Transactions!$I:$I,Classifications!G$49,Transactions!$H:$H,$B30))</f>
        <v>0</v>
      </c>
      <c r="I30" s="19">
        <f>ABS(SUMIFS(Transactions!$E:$E,Transactions!$I:$I,Classifications!H$49,Transactions!$H:$H,$B30))</f>
        <v>0</v>
      </c>
      <c r="J30" s="19">
        <f>ABS(SUMIFS(Transactions!$E:$E,Transactions!$I:$I,Classifications!I$49,Transactions!$H:$H,$B30))</f>
        <v>0</v>
      </c>
      <c r="K30" s="19">
        <f>ABS(SUMIFS(Transactions!$E:$E,Transactions!$I:$I,Classifications!J$49,Transactions!$H:$H,$B30))</f>
        <v>0</v>
      </c>
      <c r="L30" s="19">
        <f>ABS(SUMIFS(Transactions!$E:$E,Transactions!$I:$I,Classifications!K$49,Transactions!$H:$H,$B30))</f>
        <v>0</v>
      </c>
      <c r="M30" s="19">
        <f>ABS(SUMIFS(Transactions!$E:$E,Transactions!$I:$I,Classifications!L$49,Transactions!$H:$H,$B30))</f>
        <v>0</v>
      </c>
      <c r="N30" s="19">
        <f>ABS(SUMIFS(Transactions!$E:$E,Transactions!$I:$I,Classifications!M$49,Transactions!$H:$H,$B30))</f>
        <v>0</v>
      </c>
      <c r="O30" s="81">
        <f t="shared" si="2"/>
        <v>0</v>
      </c>
    </row>
    <row r="31" spans="2:15" x14ac:dyDescent="0.3">
      <c r="B31" s="20" t="s">
        <v>8</v>
      </c>
      <c r="C31" s="19">
        <f>ABS(SUMIFS(Transactions!$E:$E,Transactions!$I:$I,Classifications!B$49,Transactions!$H:$H,$B31))</f>
        <v>0</v>
      </c>
      <c r="D31" s="19">
        <f>ABS(SUMIFS(Transactions!$E:$E,Transactions!$I:$I,Classifications!C$49,Transactions!$H:$H,$B31))</f>
        <v>0</v>
      </c>
      <c r="E31" s="19">
        <f>ABS(SUMIFS(Transactions!$E:$E,Transactions!$I:$I,Classifications!D$49,Transactions!$H:$H,$B31))</f>
        <v>0</v>
      </c>
      <c r="F31" s="19">
        <f>ABS(SUMIFS(Transactions!$E:$E,Transactions!$I:$I,Classifications!E$49,Transactions!$H:$H,$B31))</f>
        <v>0</v>
      </c>
      <c r="G31" s="19">
        <f>ABS(SUMIFS(Transactions!$E:$E,Transactions!$I:$I,Classifications!F$49,Transactions!$H:$H,$B31))</f>
        <v>0</v>
      </c>
      <c r="H31" s="19">
        <f>ABS(SUMIFS(Transactions!$E:$E,Transactions!$I:$I,Classifications!G$49,Transactions!$H:$H,$B31))</f>
        <v>0</v>
      </c>
      <c r="I31" s="19">
        <f>ABS(SUMIFS(Transactions!$E:$E,Transactions!$I:$I,Classifications!H$49,Transactions!$H:$H,$B31))</f>
        <v>0</v>
      </c>
      <c r="J31" s="19">
        <f>ABS(SUMIFS(Transactions!$E:$E,Transactions!$I:$I,Classifications!I$49,Transactions!$H:$H,$B31))</f>
        <v>0</v>
      </c>
      <c r="K31" s="19">
        <f>ABS(SUMIFS(Transactions!$E:$E,Transactions!$I:$I,Classifications!J$49,Transactions!$H:$H,$B31))</f>
        <v>0</v>
      </c>
      <c r="L31" s="19">
        <f>ABS(SUMIFS(Transactions!$E:$E,Transactions!$I:$I,Classifications!K$49,Transactions!$H:$H,$B31))</f>
        <v>0</v>
      </c>
      <c r="M31" s="19">
        <f>ABS(SUMIFS(Transactions!$E:$E,Transactions!$I:$I,Classifications!L$49,Transactions!$H:$H,$B31))</f>
        <v>0</v>
      </c>
      <c r="N31" s="19">
        <f>ABS(SUMIFS(Transactions!$E:$E,Transactions!$I:$I,Classifications!M$49,Transactions!$H:$H,$B31))</f>
        <v>0</v>
      </c>
      <c r="O31" s="81">
        <f t="shared" si="2"/>
        <v>0</v>
      </c>
    </row>
    <row r="32" spans="2:15" x14ac:dyDescent="0.3">
      <c r="B32" s="20" t="s">
        <v>35</v>
      </c>
      <c r="C32" s="19">
        <f>ABS(SUMIFS(Transactions!$E:$E,Transactions!$I:$I,Classifications!B$49,Transactions!$H:$H,$B32))</f>
        <v>0</v>
      </c>
      <c r="D32" s="19">
        <f>ABS(SUMIFS(Transactions!$E:$E,Transactions!$I:$I,Classifications!C$49,Transactions!$H:$H,$B32))</f>
        <v>0</v>
      </c>
      <c r="E32" s="19">
        <f>ABS(SUMIFS(Transactions!$E:$E,Transactions!$I:$I,Classifications!D$49,Transactions!$H:$H,$B32))</f>
        <v>0</v>
      </c>
      <c r="F32" s="19">
        <f>ABS(SUMIFS(Transactions!$E:$E,Transactions!$I:$I,Classifications!E$49,Transactions!$H:$H,$B32))</f>
        <v>0</v>
      </c>
      <c r="G32" s="19">
        <f>ABS(SUMIFS(Transactions!$E:$E,Transactions!$I:$I,Classifications!F$49,Transactions!$H:$H,$B32))</f>
        <v>0</v>
      </c>
      <c r="H32" s="19">
        <f>ABS(SUMIFS(Transactions!$E:$E,Transactions!$I:$I,Classifications!G$49,Transactions!$H:$H,$B32))</f>
        <v>0</v>
      </c>
      <c r="I32" s="19">
        <f>ABS(SUMIFS(Transactions!$E:$E,Transactions!$I:$I,Classifications!H$49,Transactions!$H:$H,$B32))</f>
        <v>0</v>
      </c>
      <c r="J32" s="19">
        <f>ABS(SUMIFS(Transactions!$E:$E,Transactions!$I:$I,Classifications!I$49,Transactions!$H:$H,$B32))</f>
        <v>0</v>
      </c>
      <c r="K32" s="19">
        <f>ABS(SUMIFS(Transactions!$E:$E,Transactions!$I:$I,Classifications!J$49,Transactions!$H:$H,$B32))</f>
        <v>0</v>
      </c>
      <c r="L32" s="19">
        <f>ABS(SUMIFS(Transactions!$E:$E,Transactions!$I:$I,Classifications!K$49,Transactions!$H:$H,$B32))</f>
        <v>0</v>
      </c>
      <c r="M32" s="19">
        <f>ABS(SUMIFS(Transactions!$E:$E,Transactions!$I:$I,Classifications!L$49,Transactions!$H:$H,$B32))</f>
        <v>0</v>
      </c>
      <c r="N32" s="19">
        <f>ABS(SUMIFS(Transactions!$E:$E,Transactions!$I:$I,Classifications!M$49,Transactions!$H:$H,$B32))</f>
        <v>0</v>
      </c>
      <c r="O32" s="81">
        <f t="shared" si="2"/>
        <v>0</v>
      </c>
    </row>
    <row r="33" spans="2:15" x14ac:dyDescent="0.3">
      <c r="B33" s="93" t="s">
        <v>76</v>
      </c>
      <c r="C33" s="94">
        <f>SUM(C10:C32)</f>
        <v>800</v>
      </c>
      <c r="D33" s="94">
        <f t="shared" ref="D33:N33" si="3">SUM(D10:D32)</f>
        <v>0</v>
      </c>
      <c r="E33" s="94">
        <f t="shared" si="3"/>
        <v>0</v>
      </c>
      <c r="F33" s="94">
        <f t="shared" si="3"/>
        <v>0</v>
      </c>
      <c r="G33" s="94">
        <f t="shared" si="3"/>
        <v>0</v>
      </c>
      <c r="H33" s="94">
        <f t="shared" si="3"/>
        <v>0</v>
      </c>
      <c r="I33" s="94">
        <f t="shared" si="3"/>
        <v>0</v>
      </c>
      <c r="J33" s="94">
        <f t="shared" si="3"/>
        <v>0</v>
      </c>
      <c r="K33" s="94">
        <f t="shared" si="3"/>
        <v>0</v>
      </c>
      <c r="L33" s="94">
        <f t="shared" si="3"/>
        <v>0</v>
      </c>
      <c r="M33" s="94">
        <f t="shared" si="3"/>
        <v>0</v>
      </c>
      <c r="N33" s="94">
        <f t="shared" si="3"/>
        <v>0</v>
      </c>
      <c r="O33" s="81">
        <f t="shared" si="2"/>
        <v>800</v>
      </c>
    </row>
    <row r="34" spans="2:15" x14ac:dyDescent="0.3">
      <c r="O34" s="81"/>
    </row>
    <row r="35" spans="2:15" x14ac:dyDescent="0.3">
      <c r="B35" s="28" t="s">
        <v>39</v>
      </c>
      <c r="C35" s="40">
        <f t="shared" ref="C35:N35" si="4">C8-C33</f>
        <v>-800</v>
      </c>
      <c r="D35" s="40">
        <f t="shared" si="4"/>
        <v>0</v>
      </c>
      <c r="E35" s="40">
        <f t="shared" si="4"/>
        <v>0</v>
      </c>
      <c r="F35" s="40">
        <f t="shared" si="4"/>
        <v>0</v>
      </c>
      <c r="G35" s="40">
        <f t="shared" si="4"/>
        <v>0</v>
      </c>
      <c r="H35" s="40">
        <f t="shared" si="4"/>
        <v>0</v>
      </c>
      <c r="I35" s="40">
        <f t="shared" si="4"/>
        <v>0</v>
      </c>
      <c r="J35" s="40">
        <f t="shared" si="4"/>
        <v>0</v>
      </c>
      <c r="K35" s="40">
        <f t="shared" si="4"/>
        <v>0</v>
      </c>
      <c r="L35" s="40">
        <f t="shared" si="4"/>
        <v>0</v>
      </c>
      <c r="M35" s="40">
        <f t="shared" si="4"/>
        <v>0</v>
      </c>
      <c r="N35" s="40">
        <f t="shared" si="4"/>
        <v>0</v>
      </c>
      <c r="O35" s="81">
        <f t="shared" si="2"/>
        <v>-800</v>
      </c>
    </row>
    <row r="36" spans="2:15" x14ac:dyDescent="0.3">
      <c r="B36" s="20" t="s">
        <v>100</v>
      </c>
      <c r="C36" s="19">
        <f>ABS(SUMIFS(Transactions!$E:$E,Transactions!$I:$I,Classifications!B$49,Transactions!$H:$H,"*depreciation*"))</f>
        <v>0</v>
      </c>
      <c r="D36" s="19">
        <f>ABS(SUMIFS(Transactions!$E:$E,Transactions!$I:$I,Classifications!C$49,Transactions!$H:$H,"*depreciation*"))</f>
        <v>0</v>
      </c>
      <c r="E36" s="19">
        <f>ABS(SUMIFS(Transactions!$E:$E,Transactions!$I:$I,Classifications!D$49,Transactions!$H:$H,"*depreciation*"))</f>
        <v>0</v>
      </c>
      <c r="F36" s="19">
        <f>ABS(SUMIFS(Transactions!$E:$E,Transactions!$I:$I,Classifications!E$49,Transactions!$H:$H,"*depreciation*"))</f>
        <v>0</v>
      </c>
      <c r="G36" s="19">
        <f>ABS(SUMIFS(Transactions!$E:$E,Transactions!$I:$I,Classifications!F$49,Transactions!$H:$H,"*depreciation*"))</f>
        <v>0</v>
      </c>
      <c r="H36" s="19">
        <f>ABS(SUMIFS(Transactions!$E:$E,Transactions!$I:$I,Classifications!G$49,Transactions!$H:$H,"*depreciation*"))</f>
        <v>0</v>
      </c>
      <c r="I36" s="19">
        <f>ABS(SUMIFS(Transactions!$E:$E,Transactions!$I:$I,Classifications!H$49,Transactions!$H:$H,"*depreciation*"))</f>
        <v>0</v>
      </c>
      <c r="J36" s="19">
        <f>ABS(SUMIFS(Transactions!$E:$E,Transactions!$I:$I,Classifications!I$49,Transactions!$H:$H,"*depreciation*"))</f>
        <v>0</v>
      </c>
      <c r="K36" s="19">
        <f>ABS(SUMIFS(Transactions!$E:$E,Transactions!$I:$I,Classifications!J$49,Transactions!$H:$H,"*depreciation*"))</f>
        <v>0</v>
      </c>
      <c r="L36" s="19">
        <f>ABS(SUMIFS(Transactions!$E:$E,Transactions!$I:$I,Classifications!K$49,Transactions!$H:$H,"*depreciation*"))</f>
        <v>0</v>
      </c>
      <c r="M36" s="19">
        <f>ABS(SUMIFS(Transactions!$E:$E,Transactions!$I:$I,Classifications!L$49,Transactions!$H:$H,"*depreciation*"))</f>
        <v>0</v>
      </c>
      <c r="N36" s="19">
        <f>ABS(SUMIFS(Transactions!$E:$E,Transactions!$I:$I,Classifications!M$49,Transactions!$H:$H,"*depreciation*"))</f>
        <v>0</v>
      </c>
      <c r="O36" s="81">
        <f t="shared" si="2"/>
        <v>0</v>
      </c>
    </row>
    <row r="37" spans="2:15" x14ac:dyDescent="0.3">
      <c r="B37" s="20" t="s">
        <v>86</v>
      </c>
      <c r="C37" s="19">
        <f>ABS(SUMIFS(Transactions!$E:$E,Transactions!$I:$I,Classifications!B$49,Transactions!$H:$H,$B37))</f>
        <v>0</v>
      </c>
      <c r="D37" s="19">
        <f>ABS(SUMIFS(Transactions!$E:$E,Transactions!$I:$I,Classifications!C$49,Transactions!$H:$H,$B37))</f>
        <v>0</v>
      </c>
      <c r="E37" s="19">
        <f>ABS(SUMIFS(Transactions!$E:$E,Transactions!$I:$I,Classifications!D$49,Transactions!$H:$H,$B37))</f>
        <v>0</v>
      </c>
      <c r="F37" s="19">
        <f>ABS(SUMIFS(Transactions!$E:$E,Transactions!$I:$I,Classifications!E$49,Transactions!$H:$H,$B37))</f>
        <v>0</v>
      </c>
      <c r="G37" s="19">
        <f>ABS(SUMIFS(Transactions!$E:$E,Transactions!$I:$I,Classifications!F$49,Transactions!$H:$H,$B37))</f>
        <v>0</v>
      </c>
      <c r="H37" s="19">
        <f>ABS(SUMIFS(Transactions!$E:$E,Transactions!$I:$I,Classifications!G$49,Transactions!$H:$H,$B37))</f>
        <v>0</v>
      </c>
      <c r="I37" s="19">
        <f>ABS(SUMIFS(Transactions!$E:$E,Transactions!$I:$I,Classifications!H$49,Transactions!$H:$H,$B37))</f>
        <v>0</v>
      </c>
      <c r="J37" s="19">
        <f>ABS(SUMIFS(Transactions!$E:$E,Transactions!$I:$I,Classifications!I$49,Transactions!$H:$H,$B37))</f>
        <v>0</v>
      </c>
      <c r="K37" s="19">
        <f>ABS(SUMIFS(Transactions!$E:$E,Transactions!$I:$I,Classifications!J$49,Transactions!$H:$H,$B37))</f>
        <v>0</v>
      </c>
      <c r="L37" s="19">
        <f>ABS(SUMIFS(Transactions!$E:$E,Transactions!$I:$I,Classifications!K$49,Transactions!$H:$H,$B37))</f>
        <v>0</v>
      </c>
      <c r="M37" s="19">
        <f>ABS(SUMIFS(Transactions!$E:$E,Transactions!$I:$I,Classifications!L$49,Transactions!$H:$H,$B37))</f>
        <v>0</v>
      </c>
      <c r="N37" s="19">
        <f>ABS(SUMIFS(Transactions!$E:$E,Transactions!$I:$I,Classifications!M$49,Transactions!$H:$H,$B37))</f>
        <v>0</v>
      </c>
      <c r="O37" s="81">
        <f t="shared" si="2"/>
        <v>0</v>
      </c>
    </row>
    <row r="38" spans="2:15" x14ac:dyDescent="0.3">
      <c r="B38" s="20" t="s">
        <v>84</v>
      </c>
      <c r="C38" s="19">
        <f>ABS(SUMIFS(Transactions!$D:$D,Transactions!$I:$I,Classifications!B$49,Transactions!$H:$H,$B38))</f>
        <v>0</v>
      </c>
      <c r="D38" s="19">
        <f>ABS(SUMIFS(Transactions!$D:$D,Transactions!$I:$I,Classifications!C$49,Transactions!$H:$H,$B38))</f>
        <v>0</v>
      </c>
      <c r="E38" s="19">
        <f>ABS(SUMIFS(Transactions!$D:$D,Transactions!$I:$I,Classifications!D$49,Transactions!$H:$H,$B38))</f>
        <v>0</v>
      </c>
      <c r="F38" s="19">
        <f>ABS(SUMIFS(Transactions!$D:$D,Transactions!$I:$I,Classifications!E$49,Transactions!$H:$H,$B38))</f>
        <v>0</v>
      </c>
      <c r="G38" s="19">
        <f>ABS(SUMIFS(Transactions!$D:$D,Transactions!$I:$I,Classifications!F$49,Transactions!$H:$H,$B38))</f>
        <v>0</v>
      </c>
      <c r="H38" s="19">
        <f>ABS(SUMIFS(Transactions!$D:$D,Transactions!$I:$I,Classifications!G$49,Transactions!$H:$H,$B38))</f>
        <v>0</v>
      </c>
      <c r="I38" s="19">
        <f>ABS(SUMIFS(Transactions!$D:$D,Transactions!$I:$I,Classifications!H$49,Transactions!$H:$H,$B38))</f>
        <v>0</v>
      </c>
      <c r="J38" s="19">
        <f>ABS(SUMIFS(Transactions!$D:$D,Transactions!$I:$I,Classifications!I$49,Transactions!$H:$H,$B38))</f>
        <v>0</v>
      </c>
      <c r="K38" s="19">
        <f>ABS(SUMIFS(Transactions!$D:$D,Transactions!$I:$I,Classifications!J$49,Transactions!$H:$H,$B38))</f>
        <v>0</v>
      </c>
      <c r="L38" s="19">
        <f>ABS(SUMIFS(Transactions!$D:$D,Transactions!$I:$I,Classifications!K$49,Transactions!$H:$H,$B38))</f>
        <v>0</v>
      </c>
      <c r="M38" s="19">
        <f>ABS(SUMIFS(Transactions!$D:$D,Transactions!$I:$I,Classifications!L$49,Transactions!$H:$H,$B38))</f>
        <v>0</v>
      </c>
      <c r="N38" s="19">
        <f>ABS(SUMIFS(Transactions!$D:$D,Transactions!$I:$I,Classifications!M$49,Transactions!$H:$H,$B38))</f>
        <v>0</v>
      </c>
      <c r="O38" s="81">
        <f t="shared" si="2"/>
        <v>0</v>
      </c>
    </row>
    <row r="39" spans="2:15" x14ac:dyDescent="0.3">
      <c r="B39" s="20" t="s">
        <v>137</v>
      </c>
      <c r="C39" s="19">
        <f>ABS(SUMIFS(Transactions!$D:$D,Transactions!$I:$I,Classifications!B$49,Transactions!$H:$H,"*bank*"))</f>
        <v>0</v>
      </c>
      <c r="D39" s="19">
        <f>ABS(SUMIFS(Transactions!$D:$D,Transactions!$I:$I,Classifications!C$49,Transactions!$H:$H,"*bank*"))</f>
        <v>0</v>
      </c>
      <c r="E39" s="19">
        <f>ABS(SUMIFS(Transactions!$D:$D,Transactions!$I:$I,Classifications!D$49,Transactions!$H:$H,"*bank*"))</f>
        <v>0</v>
      </c>
      <c r="F39" s="19">
        <f>ABS(SUMIFS(Transactions!$D:$D,Transactions!$I:$I,Classifications!E$49,Transactions!$H:$H,"*bank*"))</f>
        <v>0</v>
      </c>
      <c r="G39" s="19">
        <f>ABS(SUMIFS(Transactions!$D:$D,Transactions!$I:$I,Classifications!F$49,Transactions!$H:$H,"*bank*"))</f>
        <v>0</v>
      </c>
      <c r="H39" s="19">
        <f>ABS(SUMIFS(Transactions!$D:$D,Transactions!$I:$I,Classifications!G$49,Transactions!$H:$H,"*bank*"))</f>
        <v>0</v>
      </c>
      <c r="I39" s="19">
        <f>ABS(SUMIFS(Transactions!$D:$D,Transactions!$I:$I,Classifications!H$49,Transactions!$H:$H,"*bank*"))</f>
        <v>0</v>
      </c>
      <c r="J39" s="19">
        <f>ABS(SUMIFS(Transactions!$D:$D,Transactions!$I:$I,Classifications!I$49,Transactions!$H:$H,"*bank*"))</f>
        <v>0</v>
      </c>
      <c r="K39" s="19">
        <f>ABS(SUMIFS(Transactions!$D:$D,Transactions!$I:$I,Classifications!J$49,Transactions!$H:$H,"*bank*"))</f>
        <v>0</v>
      </c>
      <c r="L39" s="19">
        <f>ABS(SUMIFS(Transactions!$D:$D,Transactions!$I:$I,Classifications!K$49,Transactions!$H:$H,"*bank*"))</f>
        <v>0</v>
      </c>
      <c r="M39" s="19">
        <f>ABS(SUMIFS(Transactions!$D:$D,Transactions!$I:$I,Classifications!L$49,Transactions!$H:$H,"*bank*"))</f>
        <v>0</v>
      </c>
      <c r="N39" s="19">
        <f>ABS(SUMIFS(Transactions!$D:$D,Transactions!$I:$I,Classifications!M$49,Transactions!$H:$H,"*bank*"))</f>
        <v>0</v>
      </c>
      <c r="O39" s="81">
        <f t="shared" si="2"/>
        <v>0</v>
      </c>
    </row>
    <row r="40" spans="2:15" x14ac:dyDescent="0.3">
      <c r="B40" s="77" t="s">
        <v>77</v>
      </c>
      <c r="C40" s="78">
        <f>C35-C36-C37+C38+C39</f>
        <v>-800</v>
      </c>
      <c r="D40" s="78">
        <f t="shared" ref="D40:N40" si="5">D35-D36-D37+D38+D39</f>
        <v>0</v>
      </c>
      <c r="E40" s="78">
        <f t="shared" si="5"/>
        <v>0</v>
      </c>
      <c r="F40" s="78">
        <f t="shared" si="5"/>
        <v>0</v>
      </c>
      <c r="G40" s="78">
        <f t="shared" si="5"/>
        <v>0</v>
      </c>
      <c r="H40" s="78">
        <f t="shared" si="5"/>
        <v>0</v>
      </c>
      <c r="I40" s="78">
        <f t="shared" si="5"/>
        <v>0</v>
      </c>
      <c r="J40" s="78">
        <f t="shared" si="5"/>
        <v>0</v>
      </c>
      <c r="K40" s="78">
        <f t="shared" si="5"/>
        <v>0</v>
      </c>
      <c r="L40" s="78">
        <f t="shared" si="5"/>
        <v>0</v>
      </c>
      <c r="M40" s="78">
        <f t="shared" si="5"/>
        <v>0</v>
      </c>
      <c r="N40" s="78">
        <f t="shared" si="5"/>
        <v>0</v>
      </c>
      <c r="O40" s="16"/>
    </row>
    <row r="41" spans="2:15" x14ac:dyDescent="0.3">
      <c r="O41" s="16"/>
    </row>
    <row r="42" spans="2:15" x14ac:dyDescent="0.3">
      <c r="B42" s="98" t="s">
        <v>79</v>
      </c>
      <c r="C42" s="99">
        <f t="shared" ref="C42:N42" si="6">C4+C40</f>
        <v>-800</v>
      </c>
      <c r="D42" s="99">
        <f t="shared" si="6"/>
        <v>-800</v>
      </c>
      <c r="E42" s="99">
        <f t="shared" si="6"/>
        <v>-800</v>
      </c>
      <c r="F42" s="99">
        <f t="shared" si="6"/>
        <v>-800</v>
      </c>
      <c r="G42" s="99">
        <f t="shared" si="6"/>
        <v>-800</v>
      </c>
      <c r="H42" s="99">
        <f t="shared" si="6"/>
        <v>-800</v>
      </c>
      <c r="I42" s="99">
        <f t="shared" si="6"/>
        <v>-800</v>
      </c>
      <c r="J42" s="99">
        <f t="shared" si="6"/>
        <v>-800</v>
      </c>
      <c r="K42" s="99">
        <f t="shared" si="6"/>
        <v>-800</v>
      </c>
      <c r="L42" s="99">
        <f t="shared" si="6"/>
        <v>-800</v>
      </c>
      <c r="M42" s="99">
        <f t="shared" si="6"/>
        <v>-800</v>
      </c>
      <c r="N42" s="99">
        <f t="shared" si="6"/>
        <v>-800</v>
      </c>
      <c r="O42" s="16"/>
    </row>
  </sheetData>
  <mergeCells count="1">
    <mergeCell ref="A1:N2"/>
  </mergeCells>
  <pageMargins left="0.7" right="0.7" top="0.75" bottom="0.75" header="0.3" footer="0.3"/>
  <pageSetup orientation="portrait" verticalDpi="0" r:id="rId1"/>
  <ignoredErrors>
    <ignoredError sqref="C17:N17 C25:N25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J33"/>
  <sheetViews>
    <sheetView zoomScale="153" zoomScaleNormal="153" zoomScalePageLayoutView="95" workbookViewId="0">
      <selection activeCell="D7" sqref="D7"/>
    </sheetView>
  </sheetViews>
  <sheetFormatPr defaultColWidth="11" defaultRowHeight="15.6" x14ac:dyDescent="0.3"/>
  <cols>
    <col min="1" max="1" width="13.33203125" style="6" bestFit="1" customWidth="1"/>
    <col min="2" max="2" width="14.6640625" style="6" customWidth="1"/>
    <col min="3" max="3" width="10.6640625" style="108" customWidth="1"/>
    <col min="4" max="4" width="18.33203125" style="113" bestFit="1" customWidth="1"/>
    <col min="5" max="5" width="18" style="113" bestFit="1" customWidth="1"/>
    <col min="6" max="6" width="19.6640625" style="5" bestFit="1" customWidth="1"/>
    <col min="7" max="7" width="9.6640625" style="108" bestFit="1" customWidth="1"/>
    <col min="8" max="8" width="20" style="108" bestFit="1" customWidth="1"/>
    <col min="9" max="9" width="15.6640625" hidden="1" customWidth="1"/>
    <col min="10" max="10" width="0" hidden="1" customWidth="1"/>
  </cols>
  <sheetData>
    <row r="1" spans="1:10" ht="51" customHeight="1" x14ac:dyDescent="0.3">
      <c r="A1" s="128"/>
      <c r="B1" s="128"/>
      <c r="C1" s="128"/>
      <c r="D1" s="128"/>
      <c r="E1" s="128"/>
      <c r="F1" s="128"/>
      <c r="G1" s="128"/>
      <c r="H1" s="128"/>
    </row>
    <row r="2" spans="1:10" ht="25.5" customHeight="1" x14ac:dyDescent="0.3">
      <c r="A2" s="131" t="s">
        <v>138</v>
      </c>
      <c r="B2" s="131"/>
      <c r="C2" s="131"/>
      <c r="D2" s="131"/>
      <c r="E2" s="131"/>
      <c r="F2" s="131"/>
      <c r="G2" s="131"/>
      <c r="H2" s="131"/>
    </row>
    <row r="3" spans="1:10" ht="15" customHeight="1" x14ac:dyDescent="0.3">
      <c r="A3" s="87" t="s">
        <v>167</v>
      </c>
      <c r="B3" s="87" t="s">
        <v>176</v>
      </c>
      <c r="C3" s="87" t="s">
        <v>174</v>
      </c>
      <c r="D3" s="109" t="s">
        <v>171</v>
      </c>
      <c r="E3" s="109" t="s">
        <v>172</v>
      </c>
      <c r="F3" s="87" t="s">
        <v>160</v>
      </c>
      <c r="G3" s="87" t="s">
        <v>169</v>
      </c>
      <c r="H3" s="87" t="s">
        <v>170</v>
      </c>
      <c r="I3" s="97" t="s">
        <v>177</v>
      </c>
      <c r="J3" s="97" t="s">
        <v>178</v>
      </c>
    </row>
    <row r="4" spans="1:10" ht="15" customHeight="1" x14ac:dyDescent="0.3">
      <c r="A4" s="83"/>
      <c r="B4" s="114"/>
      <c r="C4" s="103"/>
      <c r="D4" s="110"/>
      <c r="E4" s="111"/>
      <c r="F4" s="84"/>
      <c r="G4" s="113"/>
      <c r="H4" s="105">
        <f>Miles[Miles]*'IRS Mileage'!$B$4</f>
        <v>0</v>
      </c>
      <c r="I4" s="108">
        <f>IF(Miles[Trip Date]="",0,MONTH(Miles[Trip Date]))</f>
        <v>0</v>
      </c>
      <c r="J4" s="108" t="e">
        <f>VLOOKUP(Miles[Calculation2],Classifications!$E$50:$F$62,2,FALSE)</f>
        <v>#N/A</v>
      </c>
    </row>
    <row r="5" spans="1:10" x14ac:dyDescent="0.3">
      <c r="A5" s="124" t="s">
        <v>179</v>
      </c>
      <c r="B5" s="124"/>
      <c r="C5" s="124"/>
      <c r="D5" s="125"/>
      <c r="E5" s="125"/>
      <c r="F5" s="126"/>
      <c r="G5" s="123">
        <f>SUBTOTAL(109,Miles[Miles])</f>
        <v>0</v>
      </c>
      <c r="H5" s="127">
        <f>SUBTOTAL(109,Miles[Mileage Expense])</f>
        <v>0</v>
      </c>
      <c r="I5">
        <f>SUBTOTAL(109,Miles[Calculation2])</f>
        <v>0</v>
      </c>
    </row>
    <row r="6" spans="1:10" x14ac:dyDescent="0.3">
      <c r="D6" s="14"/>
      <c r="E6" s="100"/>
      <c r="F6"/>
    </row>
    <row r="7" spans="1:10" ht="17.399999999999999" x14ac:dyDescent="0.4">
      <c r="D7" s="14"/>
      <c r="E7" s="100"/>
      <c r="F7"/>
      <c r="G7" s="13"/>
    </row>
    <row r="8" spans="1:10" x14ac:dyDescent="0.3">
      <c r="D8" s="14"/>
      <c r="E8" s="100"/>
      <c r="F8"/>
    </row>
    <row r="9" spans="1:10" x14ac:dyDescent="0.3">
      <c r="D9" s="14"/>
      <c r="E9" s="100"/>
      <c r="F9"/>
    </row>
    <row r="10" spans="1:10" x14ac:dyDescent="0.3">
      <c r="D10" s="14"/>
      <c r="E10" s="100"/>
      <c r="F10"/>
    </row>
    <row r="11" spans="1:10" x14ac:dyDescent="0.3">
      <c r="D11"/>
      <c r="E11"/>
      <c r="F11"/>
    </row>
    <row r="12" spans="1:10" x14ac:dyDescent="0.3">
      <c r="D12"/>
      <c r="E12"/>
      <c r="F12"/>
    </row>
    <row r="13" spans="1:10" x14ac:dyDescent="0.3">
      <c r="D13"/>
      <c r="E13"/>
      <c r="F13"/>
      <c r="G13" s="4"/>
      <c r="H13" s="4"/>
    </row>
    <row r="14" spans="1:10" x14ac:dyDescent="0.3">
      <c r="D14"/>
      <c r="E14"/>
      <c r="F14"/>
      <c r="G14" s="9"/>
    </row>
    <row r="15" spans="1:10" x14ac:dyDescent="0.3">
      <c r="D15"/>
      <c r="E15"/>
      <c r="F15"/>
      <c r="G15" s="9"/>
      <c r="H15" s="4"/>
    </row>
    <row r="16" spans="1:10" x14ac:dyDescent="0.3">
      <c r="D16"/>
      <c r="E16"/>
      <c r="F16"/>
    </row>
    <row r="17" spans="4:8" x14ac:dyDescent="0.3">
      <c r="D17"/>
      <c r="E17"/>
      <c r="F17"/>
    </row>
    <row r="18" spans="4:8" x14ac:dyDescent="0.3">
      <c r="D18"/>
      <c r="E18"/>
      <c r="F18"/>
    </row>
    <row r="19" spans="4:8" x14ac:dyDescent="0.3">
      <c r="D19"/>
      <c r="E19"/>
      <c r="F19"/>
      <c r="H19" s="4"/>
    </row>
    <row r="20" spans="4:8" x14ac:dyDescent="0.3">
      <c r="D20"/>
      <c r="E20"/>
      <c r="F20"/>
      <c r="G20" s="9"/>
      <c r="H20" s="4"/>
    </row>
    <row r="21" spans="4:8" x14ac:dyDescent="0.3">
      <c r="D21"/>
      <c r="E21"/>
      <c r="F21"/>
      <c r="H21" s="4"/>
    </row>
    <row r="22" spans="4:8" x14ac:dyDescent="0.3">
      <c r="D22"/>
      <c r="E22"/>
      <c r="F22"/>
    </row>
    <row r="23" spans="4:8" x14ac:dyDescent="0.3">
      <c r="D23" s="112"/>
      <c r="H23" s="2"/>
    </row>
    <row r="24" spans="4:8" x14ac:dyDescent="0.3">
      <c r="D24" s="112"/>
      <c r="H24" s="2"/>
    </row>
    <row r="25" spans="4:8" x14ac:dyDescent="0.3">
      <c r="D25" s="112"/>
      <c r="H25" s="2"/>
    </row>
    <row r="29" spans="4:8" x14ac:dyDescent="0.3">
      <c r="D29" s="112"/>
      <c r="H29" s="2"/>
    </row>
    <row r="30" spans="4:8" x14ac:dyDescent="0.3">
      <c r="D30" s="112"/>
      <c r="H30" s="2"/>
    </row>
    <row r="33" spans="4:8" x14ac:dyDescent="0.3">
      <c r="D33" s="112"/>
      <c r="H33" s="2"/>
    </row>
  </sheetData>
  <mergeCells count="2">
    <mergeCell ref="A1:H1"/>
    <mergeCell ref="A2:H2"/>
  </mergeCells>
  <dataValidations count="1">
    <dataValidation allowBlank="1" showErrorMessage="1" sqref="F23:F1048576"/>
  </dataValidations>
  <pageMargins left="0.75" right="0.75" top="1" bottom="1" header="0.5" footer="0.5"/>
  <pageSetup orientation="portrait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Classifications!$A$102:$A$107</xm:f>
          </x14:formula1>
          <xm:sqref>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P33"/>
  <sheetViews>
    <sheetView zoomScale="88" zoomScaleNormal="88" zoomScalePageLayoutView="95" workbookViewId="0">
      <selection activeCell="G4" sqref="G4"/>
    </sheetView>
  </sheetViews>
  <sheetFormatPr defaultColWidth="11" defaultRowHeight="15.6" x14ac:dyDescent="0.3"/>
  <cols>
    <col min="1" max="1" width="13.33203125" style="6" bestFit="1" customWidth="1"/>
    <col min="2" max="2" width="16.77734375" style="6" bestFit="1" customWidth="1"/>
    <col min="3" max="3" width="25.109375" style="108" bestFit="1" customWidth="1"/>
    <col min="4" max="4" width="11.88671875" style="5" bestFit="1" customWidth="1"/>
    <col min="5" max="5" width="11.21875" style="5" bestFit="1" customWidth="1"/>
    <col min="6" max="6" width="10.33203125" style="5" bestFit="1" customWidth="1"/>
    <col min="7" max="7" width="23.109375" style="108" bestFit="1" customWidth="1"/>
    <col min="8" max="8" width="37" style="108" bestFit="1" customWidth="1"/>
    <col min="9" max="9" width="15.6640625" customWidth="1"/>
    <col min="10" max="10" width="9.33203125" bestFit="1" customWidth="1"/>
    <col min="11" max="11" width="10.44140625" bestFit="1" customWidth="1"/>
    <col min="12" max="12" width="11.88671875" bestFit="1" customWidth="1"/>
    <col min="13" max="13" width="19.109375" bestFit="1" customWidth="1"/>
    <col min="14" max="14" width="23.21875" bestFit="1" customWidth="1"/>
    <col min="15" max="15" width="17.77734375" bestFit="1" customWidth="1"/>
    <col min="16" max="16" width="17.109375" customWidth="1"/>
  </cols>
  <sheetData>
    <row r="1" spans="1:16" ht="81" customHeight="1" x14ac:dyDescent="0.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6" ht="23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 ht="15" customHeight="1" thickBot="1" x14ac:dyDescent="0.35">
      <c r="A3" s="115" t="s">
        <v>140</v>
      </c>
      <c r="B3" s="115" t="s">
        <v>143</v>
      </c>
      <c r="C3" s="115" t="s">
        <v>144</v>
      </c>
      <c r="D3" s="115" t="s">
        <v>145</v>
      </c>
      <c r="E3" s="115" t="s">
        <v>146</v>
      </c>
      <c r="F3" s="115" t="s">
        <v>147</v>
      </c>
      <c r="G3" s="115" t="s">
        <v>148</v>
      </c>
      <c r="H3" s="115" t="s">
        <v>149</v>
      </c>
      <c r="I3" s="115" t="s">
        <v>150</v>
      </c>
      <c r="J3" s="115" t="s">
        <v>151</v>
      </c>
      <c r="K3" s="116" t="s">
        <v>152</v>
      </c>
      <c r="L3" s="116" t="s">
        <v>153</v>
      </c>
      <c r="M3" s="116" t="s">
        <v>154</v>
      </c>
      <c r="N3" s="116" t="s">
        <v>155</v>
      </c>
      <c r="O3" s="116" t="s">
        <v>156</v>
      </c>
      <c r="P3" s="116" t="s">
        <v>157</v>
      </c>
    </row>
    <row r="4" spans="1:16" s="14" customFormat="1" ht="15" customHeight="1" thickTop="1" x14ac:dyDescent="0.3">
      <c r="A4" s="117"/>
      <c r="B4" s="118"/>
      <c r="C4" s="119"/>
      <c r="D4" s="120"/>
      <c r="E4" s="121"/>
      <c r="F4" s="118"/>
      <c r="G4" s="122"/>
      <c r="H4" s="117"/>
    </row>
    <row r="5" spans="1:16" x14ac:dyDescent="0.3">
      <c r="D5" s="106"/>
      <c r="F5" s="108"/>
    </row>
    <row r="6" spans="1:16" x14ac:dyDescent="0.3">
      <c r="D6" s="106"/>
      <c r="F6" s="108"/>
    </row>
    <row r="7" spans="1:16" ht="17.399999999999999" x14ac:dyDescent="0.4">
      <c r="F7" s="108"/>
      <c r="G7" s="13"/>
    </row>
    <row r="8" spans="1:16" x14ac:dyDescent="0.3">
      <c r="F8" s="108"/>
    </row>
    <row r="9" spans="1:16" x14ac:dyDescent="0.3">
      <c r="F9" s="108"/>
    </row>
    <row r="13" spans="1:16" x14ac:dyDescent="0.3">
      <c r="D13" s="12"/>
      <c r="E13" s="12"/>
      <c r="F13" s="12"/>
      <c r="G13" s="4"/>
      <c r="H13" s="4"/>
    </row>
    <row r="14" spans="1:16" x14ac:dyDescent="0.3">
      <c r="G14" s="9"/>
    </row>
    <row r="15" spans="1:16" x14ac:dyDescent="0.3">
      <c r="D15" s="106"/>
      <c r="G15" s="9"/>
      <c r="H15" s="4"/>
    </row>
    <row r="19" spans="4:8" x14ac:dyDescent="0.3">
      <c r="D19" s="107"/>
      <c r="H19" s="4"/>
    </row>
    <row r="20" spans="4:8" x14ac:dyDescent="0.3">
      <c r="D20" s="106"/>
      <c r="G20" s="9"/>
      <c r="H20" s="4"/>
    </row>
    <row r="21" spans="4:8" x14ac:dyDescent="0.3">
      <c r="D21" s="106"/>
      <c r="H21" s="4"/>
    </row>
    <row r="23" spans="4:8" x14ac:dyDescent="0.3">
      <c r="D23" s="106"/>
      <c r="H23" s="2"/>
    </row>
    <row r="24" spans="4:8" x14ac:dyDescent="0.3">
      <c r="D24" s="106"/>
      <c r="H24" s="2"/>
    </row>
    <row r="25" spans="4:8" x14ac:dyDescent="0.3">
      <c r="D25" s="106"/>
      <c r="H25" s="2"/>
    </row>
    <row r="29" spans="4:8" x14ac:dyDescent="0.3">
      <c r="D29" s="106"/>
      <c r="H29" s="2"/>
    </row>
    <row r="30" spans="4:8" x14ac:dyDescent="0.3">
      <c r="D30" s="106"/>
      <c r="H30" s="2"/>
    </row>
    <row r="33" spans="4:8" x14ac:dyDescent="0.3">
      <c r="D33" s="106"/>
      <c r="H33" s="2"/>
    </row>
  </sheetData>
  <mergeCells count="1">
    <mergeCell ref="A1:P2"/>
  </mergeCells>
  <dataValidations count="2">
    <dataValidation showErrorMessage="1" sqref="H3:H1048576"/>
    <dataValidation allowBlank="1" showErrorMessage="1" sqref="F3:F1048576"/>
  </dataValidations>
  <pageMargins left="0.75" right="0.75" top="1" bottom="1" header="0.5" footer="0.5"/>
  <pageSetup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O4"/>
  <sheetViews>
    <sheetView workbookViewId="0">
      <selection activeCell="O3" sqref="O3"/>
    </sheetView>
  </sheetViews>
  <sheetFormatPr defaultColWidth="9" defaultRowHeight="14.4" x14ac:dyDescent="0.3"/>
  <cols>
    <col min="1" max="2" width="18.33203125" style="88" customWidth="1"/>
    <col min="3" max="3" width="16" style="88" customWidth="1"/>
    <col min="4" max="4" width="16.44140625" style="88" customWidth="1"/>
    <col min="5" max="5" width="16.33203125" style="88" customWidth="1"/>
    <col min="6" max="6" width="7.88671875" style="88" customWidth="1"/>
    <col min="7" max="7" width="17.109375" style="88" customWidth="1"/>
    <col min="8" max="8" width="16.109375" style="88" customWidth="1"/>
    <col min="9" max="9" width="16" style="88" customWidth="1"/>
    <col min="10" max="10" width="8.88671875" style="88" customWidth="1"/>
    <col min="11" max="11" width="11" style="88" customWidth="1"/>
    <col min="12" max="12" width="14.21875" style="88" customWidth="1"/>
    <col min="13" max="13" width="18.77734375" style="88" customWidth="1"/>
    <col min="14" max="14" width="23.33203125" style="88" customWidth="1"/>
    <col min="15" max="15" width="16.77734375" style="88" customWidth="1"/>
    <col min="16" max="16384" width="9" style="88"/>
  </cols>
  <sheetData>
    <row r="1" spans="1:15" ht="61.5" customHeight="1" x14ac:dyDescent="0.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25.5" customHeight="1" x14ac:dyDescent="0.35">
      <c r="A2" s="132" t="s">
        <v>158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x14ac:dyDescent="0.3">
      <c r="A3" s="89" t="s">
        <v>140</v>
      </c>
      <c r="B3" s="89" t="s">
        <v>143</v>
      </c>
      <c r="C3" s="89" t="s">
        <v>144</v>
      </c>
      <c r="D3" s="89" t="s">
        <v>145</v>
      </c>
      <c r="E3" s="89" t="s">
        <v>146</v>
      </c>
      <c r="F3" s="89" t="s">
        <v>147</v>
      </c>
      <c r="G3" s="89" t="s">
        <v>148</v>
      </c>
      <c r="H3" s="89" t="s">
        <v>149</v>
      </c>
      <c r="I3" s="89" t="s">
        <v>150</v>
      </c>
      <c r="J3" s="89" t="s">
        <v>151</v>
      </c>
      <c r="K3" s="89" t="s">
        <v>152</v>
      </c>
      <c r="L3" s="89" t="s">
        <v>153</v>
      </c>
      <c r="M3" s="89" t="s">
        <v>154</v>
      </c>
      <c r="N3" s="89" t="s">
        <v>155</v>
      </c>
      <c r="O3" s="89" t="s">
        <v>159</v>
      </c>
    </row>
    <row r="4" spans="1:15" x14ac:dyDescent="0.3">
      <c r="N4" s="90"/>
    </row>
  </sheetData>
  <mergeCells count="2">
    <mergeCell ref="A2:O2"/>
    <mergeCell ref="A1:O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A1:B43"/>
  <sheetViews>
    <sheetView workbookViewId="0">
      <selection activeCell="F6" sqref="F6"/>
    </sheetView>
  </sheetViews>
  <sheetFormatPr defaultColWidth="8.88671875" defaultRowHeight="15.6" x14ac:dyDescent="0.3"/>
  <cols>
    <col min="1" max="1" width="34" customWidth="1"/>
    <col min="2" max="2" width="13" customWidth="1"/>
  </cols>
  <sheetData>
    <row r="1" spans="1:2" ht="21" x14ac:dyDescent="0.4">
      <c r="A1" s="134" t="s">
        <v>180</v>
      </c>
      <c r="B1" s="135"/>
    </row>
    <row r="2" spans="1:2" ht="18" thickBot="1" x14ac:dyDescent="0.4">
      <c r="A2" s="136" t="s">
        <v>10</v>
      </c>
      <c r="B2" s="136"/>
    </row>
    <row r="3" spans="1:2" ht="16.2" thickTop="1" x14ac:dyDescent="0.3">
      <c r="A3" t="s">
        <v>9</v>
      </c>
      <c r="B3" s="10">
        <f>SUMIF(Transactions!$H:$H,A3,Transactions!$D:$D)</f>
        <v>0</v>
      </c>
    </row>
    <row r="4" spans="1:2" x14ac:dyDescent="0.3">
      <c r="A4" t="s">
        <v>12</v>
      </c>
      <c r="B4" s="10">
        <f>SUMIF(Transactions!$H:$H,A4,Transactions!$D:$D)</f>
        <v>0</v>
      </c>
    </row>
    <row r="5" spans="1:2" ht="16.2" thickBot="1" x14ac:dyDescent="0.35">
      <c r="B5" s="11">
        <f>B3-B4</f>
        <v>0</v>
      </c>
    </row>
    <row r="6" spans="1:2" ht="16.2" thickTop="1" x14ac:dyDescent="0.3">
      <c r="A6" t="s">
        <v>11</v>
      </c>
      <c r="B6" s="10">
        <f>'Cost of Goods Sold'!B12</f>
        <v>0</v>
      </c>
    </row>
    <row r="7" spans="1:2" ht="16.2" thickBot="1" x14ac:dyDescent="0.35">
      <c r="A7" s="3" t="s">
        <v>13</v>
      </c>
      <c r="B7" s="11">
        <f>B5-B6</f>
        <v>0</v>
      </c>
    </row>
    <row r="8" spans="1:2" ht="16.2" thickTop="1" x14ac:dyDescent="0.3">
      <c r="A8" t="s">
        <v>14</v>
      </c>
      <c r="B8" s="10">
        <f>SUMIF(Transactions!$H:$H,A8,Transactions!$D:$D)</f>
        <v>0</v>
      </c>
    </row>
    <row r="9" spans="1:2" ht="16.2" thickBot="1" x14ac:dyDescent="0.35">
      <c r="A9" s="3" t="s">
        <v>15</v>
      </c>
      <c r="B9" s="11">
        <f>B7+B8</f>
        <v>0</v>
      </c>
    </row>
    <row r="10" spans="1:2" ht="16.2" thickTop="1" x14ac:dyDescent="0.3">
      <c r="B10" s="10"/>
    </row>
    <row r="11" spans="1:2" ht="18" thickBot="1" x14ac:dyDescent="0.4">
      <c r="A11" s="136" t="s">
        <v>16</v>
      </c>
      <c r="B11" s="136"/>
    </row>
    <row r="12" spans="1:2" ht="16.2" thickTop="1" x14ac:dyDescent="0.3">
      <c r="A12" t="s">
        <v>4</v>
      </c>
      <c r="B12" s="10">
        <f>-SUMIF(Transactions!$H:$H,A12,Transactions!$E:$E)</f>
        <v>0</v>
      </c>
    </row>
    <row r="13" spans="1:2" x14ac:dyDescent="0.3">
      <c r="A13" t="s">
        <v>17</v>
      </c>
      <c r="B13" s="10">
        <f>-SUMIF(Transactions!$H:$H,A13,Transactions!$E:$E)</f>
        <v>0</v>
      </c>
    </row>
    <row r="14" spans="1:2" x14ac:dyDescent="0.3">
      <c r="A14" t="s">
        <v>18</v>
      </c>
      <c r="B14" s="10">
        <f>-SUMIF(Transactions!$H:$H,A14,Transactions!$E:$E)</f>
        <v>0</v>
      </c>
    </row>
    <row r="15" spans="1:2" x14ac:dyDescent="0.3">
      <c r="A15" t="s">
        <v>2</v>
      </c>
      <c r="B15" s="10">
        <f>-SUMIF(Transactions!$H:$H,A15,Transactions!$E:$E)</f>
        <v>0</v>
      </c>
    </row>
    <row r="16" spans="1:2" x14ac:dyDescent="0.3">
      <c r="A16" t="s">
        <v>19</v>
      </c>
      <c r="B16" s="10">
        <f>-SUMIF(Transactions!$H:$H,A16,Transactions!$E:$E)</f>
        <v>0</v>
      </c>
    </row>
    <row r="17" spans="1:2" x14ac:dyDescent="0.3">
      <c r="A17" t="s">
        <v>20</v>
      </c>
      <c r="B17" s="10">
        <f>-SUMIF(Transactions!$H:$H,A17,Transactions!$E:$E)</f>
        <v>0</v>
      </c>
    </row>
    <row r="18" spans="1:2" x14ac:dyDescent="0.3">
      <c r="A18" t="s">
        <v>21</v>
      </c>
      <c r="B18" s="10">
        <f>-SUMIF(Transactions!$H:$H,A18,Transactions!$E:$E)</f>
        <v>0</v>
      </c>
    </row>
    <row r="19" spans="1:2" x14ac:dyDescent="0.3">
      <c r="A19" t="s">
        <v>22</v>
      </c>
      <c r="B19" s="10">
        <f>-SUMIF(Transactions!$H:$H,A19,Transactions!$E:$E)</f>
        <v>0</v>
      </c>
    </row>
    <row r="20" spans="1:2" x14ac:dyDescent="0.3">
      <c r="A20" t="s">
        <v>23</v>
      </c>
      <c r="B20" s="76"/>
    </row>
    <row r="21" spans="1:2" x14ac:dyDescent="0.3">
      <c r="A21" s="7" t="s">
        <v>24</v>
      </c>
      <c r="B21" s="10">
        <f>-SUMIF(Transactions!$H:$H,A21,Transactions!$E:$E)</f>
        <v>0</v>
      </c>
    </row>
    <row r="22" spans="1:2" x14ac:dyDescent="0.3">
      <c r="A22" s="7" t="s">
        <v>41</v>
      </c>
      <c r="B22" s="10">
        <f>-SUMIF(Transactions!$H:$H,A22,Transactions!$E:$E)</f>
        <v>0</v>
      </c>
    </row>
    <row r="23" spans="1:2" x14ac:dyDescent="0.3">
      <c r="A23" t="s">
        <v>25</v>
      </c>
      <c r="B23" s="10">
        <f>-SUMIF(Transactions!$H:$H,A23,Transactions!$E:$E)</f>
        <v>0</v>
      </c>
    </row>
    <row r="24" spans="1:2" x14ac:dyDescent="0.3">
      <c r="A24" t="s">
        <v>26</v>
      </c>
      <c r="B24" s="10">
        <f>-SUMIF(Transactions!$H:$H,A24,Transactions!$E:$E)</f>
        <v>0</v>
      </c>
    </row>
    <row r="25" spans="1:2" x14ac:dyDescent="0.3">
      <c r="A25" t="s">
        <v>27</v>
      </c>
      <c r="B25" s="10">
        <f>-SUMIF(Transactions!$H:$H,A25,Transactions!$E:$E)</f>
        <v>0</v>
      </c>
    </row>
    <row r="26" spans="1:2" x14ac:dyDescent="0.3">
      <c r="A26" t="s">
        <v>28</v>
      </c>
      <c r="B26" s="76"/>
    </row>
    <row r="27" spans="1:2" x14ac:dyDescent="0.3">
      <c r="A27" s="7" t="s">
        <v>29</v>
      </c>
      <c r="B27" s="10">
        <f>-SUMIF(Transactions!$H:$H,A27,Transactions!$E:$E)</f>
        <v>0</v>
      </c>
    </row>
    <row r="28" spans="1:2" x14ac:dyDescent="0.3">
      <c r="A28" s="7" t="s">
        <v>30</v>
      </c>
      <c r="B28" s="10">
        <f>-SUMIF(Transactions!$H:$H,A28,Transactions!$E:$E)</f>
        <v>0</v>
      </c>
    </row>
    <row r="29" spans="1:2" x14ac:dyDescent="0.3">
      <c r="A29" t="s">
        <v>31</v>
      </c>
      <c r="B29" s="10">
        <f>-SUMIF(Transactions!$H:$H,A29,Transactions!$E:$E)</f>
        <v>0</v>
      </c>
    </row>
    <row r="30" spans="1:2" x14ac:dyDescent="0.3">
      <c r="A30" t="s">
        <v>3</v>
      </c>
      <c r="B30" s="10">
        <f>-SUMIF(Transactions!$H:$H,A30,Transactions!$E:$E)</f>
        <v>0</v>
      </c>
    </row>
    <row r="31" spans="1:2" x14ac:dyDescent="0.3">
      <c r="A31" t="s">
        <v>7</v>
      </c>
      <c r="B31" s="10">
        <f>-SUMIF(Transactions!$H:$H,A31,Transactions!$E:$E)</f>
        <v>0</v>
      </c>
    </row>
    <row r="32" spans="1:2" x14ac:dyDescent="0.3">
      <c r="A32" t="s">
        <v>129</v>
      </c>
      <c r="B32" s="76"/>
    </row>
    <row r="33" spans="1:2" x14ac:dyDescent="0.3">
      <c r="A33" s="7" t="s">
        <v>32</v>
      </c>
      <c r="B33" s="10">
        <f>-SUMIF(Transactions!$H:$H,A33,Transactions!$E:$E)</f>
        <v>0</v>
      </c>
    </row>
    <row r="34" spans="1:2" x14ac:dyDescent="0.3">
      <c r="A34" s="7" t="s">
        <v>126</v>
      </c>
      <c r="B34" s="10">
        <f>-SUMIF(Transactions!$H:$H,"*meal*",Transactions!$E:$E)*0.5</f>
        <v>0</v>
      </c>
    </row>
    <row r="35" spans="1:2" x14ac:dyDescent="0.3">
      <c r="A35" t="s">
        <v>34</v>
      </c>
      <c r="B35" s="10">
        <f>-SUMIF(Transactions!$H:$H,A35,Transactions!$E:$E)</f>
        <v>0</v>
      </c>
    </row>
    <row r="36" spans="1:2" x14ac:dyDescent="0.3">
      <c r="A36" t="s">
        <v>128</v>
      </c>
      <c r="B36" s="10">
        <f>-SUMIF(Transactions!$H:$H,A36,Transactions!$E:$E)</f>
        <v>0</v>
      </c>
    </row>
    <row r="37" spans="1:2" x14ac:dyDescent="0.3">
      <c r="A37" t="s">
        <v>8</v>
      </c>
      <c r="B37" s="10">
        <f>-SUMIF(Transactions!$H:$H,A37,Transactions!$E:$E)</f>
        <v>0</v>
      </c>
    </row>
    <row r="38" spans="1:2" x14ac:dyDescent="0.3">
      <c r="A38" t="s">
        <v>35</v>
      </c>
      <c r="B38" s="76"/>
    </row>
    <row r="39" spans="1:2" ht="16.2" thickBot="1" x14ac:dyDescent="0.35">
      <c r="A39" s="3" t="s">
        <v>36</v>
      </c>
      <c r="B39" s="11">
        <f>SUM(B12:B38)</f>
        <v>0</v>
      </c>
    </row>
    <row r="40" spans="1:2" ht="16.2" thickTop="1" x14ac:dyDescent="0.3">
      <c r="A40" t="s">
        <v>37</v>
      </c>
      <c r="B40" s="10">
        <f>B9-B39</f>
        <v>0</v>
      </c>
    </row>
    <row r="41" spans="1:2" x14ac:dyDescent="0.3">
      <c r="A41" t="s">
        <v>38</v>
      </c>
      <c r="B41" s="10"/>
    </row>
    <row r="42" spans="1:2" ht="16.2" thickBot="1" x14ac:dyDescent="0.35">
      <c r="A42" s="3" t="s">
        <v>39</v>
      </c>
      <c r="B42" s="11">
        <f>B40-B41</f>
        <v>0</v>
      </c>
    </row>
    <row r="43" spans="1:2" ht="16.2" thickTop="1" x14ac:dyDescent="0.3"/>
  </sheetData>
  <mergeCells count="3">
    <mergeCell ref="A1:B1"/>
    <mergeCell ref="A2:B2"/>
    <mergeCell ref="A11:B11"/>
  </mergeCells>
  <pageMargins left="0.7" right="0.7" top="0.75" bottom="0.75" header="0.3" footer="0.3"/>
  <ignoredErrors>
    <ignoredError sqref="B34 B6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B13"/>
  <sheetViews>
    <sheetView workbookViewId="0">
      <selection activeCell="B4" sqref="B4"/>
    </sheetView>
  </sheetViews>
  <sheetFormatPr defaultColWidth="8.88671875" defaultRowHeight="15.6" x14ac:dyDescent="0.3"/>
  <cols>
    <col min="1" max="1" width="93.6640625" customWidth="1"/>
    <col min="2" max="2" width="37.33203125" style="1" customWidth="1"/>
  </cols>
  <sheetData>
    <row r="1" spans="1:2" ht="21" x14ac:dyDescent="0.4">
      <c r="A1" s="134">
        <f>Transactions!A1</f>
        <v>0</v>
      </c>
      <c r="B1" s="135"/>
    </row>
    <row r="2" spans="1:2" ht="18" thickBot="1" x14ac:dyDescent="0.4">
      <c r="A2" s="136" t="s">
        <v>46</v>
      </c>
      <c r="B2" s="136"/>
    </row>
    <row r="3" spans="1:2" ht="16.2" thickTop="1" x14ac:dyDescent="0.3">
      <c r="A3" s="34" t="s">
        <v>53</v>
      </c>
      <c r="B3" s="35" t="s">
        <v>55</v>
      </c>
    </row>
    <row r="4" spans="1:2" x14ac:dyDescent="0.3">
      <c r="A4" s="34" t="s">
        <v>57</v>
      </c>
      <c r="B4" s="35" t="s">
        <v>59</v>
      </c>
    </row>
    <row r="5" spans="1:2" x14ac:dyDescent="0.3">
      <c r="A5" s="34" t="s">
        <v>47</v>
      </c>
      <c r="B5" s="36">
        <v>0</v>
      </c>
    </row>
    <row r="6" spans="1:2" x14ac:dyDescent="0.3">
      <c r="A6" s="34" t="s">
        <v>48</v>
      </c>
      <c r="B6" s="36">
        <v>0</v>
      </c>
    </row>
    <row r="7" spans="1:2" x14ac:dyDescent="0.3">
      <c r="A7" s="34" t="s">
        <v>130</v>
      </c>
      <c r="B7" s="36">
        <v>0</v>
      </c>
    </row>
    <row r="8" spans="1:2" x14ac:dyDescent="0.3">
      <c r="A8" s="34" t="s">
        <v>49</v>
      </c>
      <c r="B8" s="36">
        <v>0</v>
      </c>
    </row>
    <row r="9" spans="1:2" x14ac:dyDescent="0.3">
      <c r="A9" s="34" t="s">
        <v>50</v>
      </c>
      <c r="B9" s="36">
        <v>0</v>
      </c>
    </row>
    <row r="10" spans="1:2" ht="16.2" thickBot="1" x14ac:dyDescent="0.35">
      <c r="A10" s="34" t="s">
        <v>51</v>
      </c>
      <c r="B10" s="37">
        <f>SUM(B5:B9)</f>
        <v>0</v>
      </c>
    </row>
    <row r="11" spans="1:2" ht="16.2" thickTop="1" x14ac:dyDescent="0.3">
      <c r="A11" s="34" t="s">
        <v>52</v>
      </c>
      <c r="B11" s="36">
        <v>0</v>
      </c>
    </row>
    <row r="12" spans="1:2" ht="16.2" thickBot="1" x14ac:dyDescent="0.35">
      <c r="A12" s="15" t="s">
        <v>11</v>
      </c>
      <c r="B12" s="33">
        <f>B10-B11</f>
        <v>0</v>
      </c>
    </row>
    <row r="13" spans="1:2" ht="16.2" thickTop="1" x14ac:dyDescent="0.3"/>
  </sheetData>
  <mergeCells count="2">
    <mergeCell ref="A1:B1"/>
    <mergeCell ref="A2:B2"/>
  </mergeCells>
  <dataValidations count="2">
    <dataValidation type="list" allowBlank="1" showInputMessage="1" sqref="B3">
      <formula1>InventoryMethod</formula1>
    </dataValidation>
    <dataValidation type="list" allowBlank="1" showInputMessage="1" sqref="B4">
      <formula1>YesNo?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6"/>
  <sheetViews>
    <sheetView zoomScaleNormal="100" workbookViewId="0">
      <selection activeCell="B6" sqref="B6"/>
    </sheetView>
  </sheetViews>
  <sheetFormatPr defaultColWidth="8.88671875" defaultRowHeight="15.6" x14ac:dyDescent="0.3"/>
  <cols>
    <col min="1" max="1" width="41.88671875" customWidth="1"/>
    <col min="2" max="2" width="12.6640625" customWidth="1"/>
  </cols>
  <sheetData>
    <row r="1" spans="1:2" ht="21" x14ac:dyDescent="0.4">
      <c r="A1" s="134">
        <f>Transactions!A1:H1</f>
        <v>0</v>
      </c>
      <c r="B1" s="135"/>
    </row>
    <row r="2" spans="1:2" ht="18" thickBot="1" x14ac:dyDescent="0.4">
      <c r="A2" s="137" t="s">
        <v>80</v>
      </c>
      <c r="B2" s="137"/>
    </row>
    <row r="3" spans="1:2" ht="16.2" thickTop="1" x14ac:dyDescent="0.3">
      <c r="A3" s="34" t="s">
        <v>82</v>
      </c>
      <c r="B3" s="1">
        <f>'Schedule C (P&amp;L)'!B42</f>
        <v>0</v>
      </c>
    </row>
    <row r="4" spans="1:2" x14ac:dyDescent="0.3">
      <c r="A4" s="34" t="s">
        <v>83</v>
      </c>
      <c r="B4" s="1">
        <f>B3*0.9235</f>
        <v>0</v>
      </c>
    </row>
    <row r="5" spans="1:2" ht="16.2" thickBot="1" x14ac:dyDescent="0.35">
      <c r="A5" s="38" t="s">
        <v>142</v>
      </c>
      <c r="B5" s="32">
        <f>IF(B4&lt;400,0,IF(B4&lt;=128000,B4*0.153,(B4*0.029)+15921.6))</f>
        <v>0</v>
      </c>
    </row>
    <row r="6" spans="1:2" ht="16.2" thickTop="1" x14ac:dyDescent="0.3">
      <c r="A6" s="85" t="s">
        <v>81</v>
      </c>
      <c r="B6" s="86">
        <f>B5*0.5</f>
        <v>0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6"/>
  <sheetViews>
    <sheetView workbookViewId="0">
      <selection activeCell="B4" sqref="B4"/>
    </sheetView>
  </sheetViews>
  <sheetFormatPr defaultColWidth="8.88671875" defaultRowHeight="15.6" x14ac:dyDescent="0.3"/>
  <cols>
    <col min="1" max="1" width="23.6640625" customWidth="1"/>
    <col min="2" max="2" width="11.109375" style="1" customWidth="1"/>
    <col min="3" max="3" width="16" customWidth="1"/>
  </cols>
  <sheetData>
    <row r="1" spans="1:3" ht="21" x14ac:dyDescent="0.4">
      <c r="A1" s="134">
        <f>Transactions!A1</f>
        <v>0</v>
      </c>
      <c r="B1" s="135"/>
    </row>
    <row r="2" spans="1:3" ht="18" thickBot="1" x14ac:dyDescent="0.4">
      <c r="A2" s="136" t="s">
        <v>89</v>
      </c>
      <c r="B2" s="136"/>
    </row>
    <row r="3" spans="1:3" ht="16.2" thickTop="1" x14ac:dyDescent="0.3">
      <c r="A3" t="s">
        <v>92</v>
      </c>
      <c r="B3" s="44" t="e">
        <f>#REF!</f>
        <v>#REF!</v>
      </c>
    </row>
    <row r="4" spans="1:3" x14ac:dyDescent="0.3">
      <c r="A4" s="38" t="s">
        <v>91</v>
      </c>
      <c r="B4" s="42">
        <v>0.57999999999999996</v>
      </c>
      <c r="C4" s="43" t="s">
        <v>94</v>
      </c>
    </row>
    <row r="5" spans="1:3" ht="16.2" thickBot="1" x14ac:dyDescent="0.35">
      <c r="A5" s="38" t="s">
        <v>90</v>
      </c>
      <c r="B5" s="32" t="e">
        <f>ROUND(B3*B4,0)</f>
        <v>#REF!</v>
      </c>
    </row>
    <row r="6" spans="1:3" ht="16.2" thickTop="1" x14ac:dyDescent="0.3"/>
  </sheetData>
  <mergeCells count="2">
    <mergeCell ref="A1:B1"/>
    <mergeCell ref="A2:B2"/>
  </mergeCells>
  <hyperlinks>
    <hyperlink ref="C4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2C920734749747B2EE4B4BD47CCE72" ma:contentTypeVersion="11" ma:contentTypeDescription="Create a new document." ma:contentTypeScope="" ma:versionID="d849ef4f54b281002e4394d129e83bd3">
  <xsd:schema xmlns:xsd="http://www.w3.org/2001/XMLSchema" xmlns:xs="http://www.w3.org/2001/XMLSchema" xmlns:p="http://schemas.microsoft.com/office/2006/metadata/properties" xmlns:ns3="cbf9f2e8-d477-4433-9ac8-db3216617497" xmlns:ns4="8dd91be3-76e2-4d27-b804-a765ba408120" targetNamespace="http://schemas.microsoft.com/office/2006/metadata/properties" ma:root="true" ma:fieldsID="98da56e7d079dd354b4e8346b850c278" ns3:_="" ns4:_="">
    <xsd:import namespace="cbf9f2e8-d477-4433-9ac8-db3216617497"/>
    <xsd:import namespace="8dd91be3-76e2-4d27-b804-a765ba40812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9f2e8-d477-4433-9ac8-db321661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91be3-76e2-4d27-b804-a765ba408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EAF5C5-0B4E-40A0-8DA5-B24EEE8018EE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8dd91be3-76e2-4d27-b804-a765ba408120"/>
    <ds:schemaRef ds:uri="cbf9f2e8-d477-4433-9ac8-db3216617497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F2277E-66F7-457B-A610-4C03404D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f9f2e8-d477-4433-9ac8-db3216617497"/>
    <ds:schemaRef ds:uri="8dd91be3-76e2-4d27-b804-a765ba408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C91D55-4269-4C69-8B5D-14A321360C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Transactions</vt:lpstr>
      <vt:lpstr>Working Cash Flow</vt:lpstr>
      <vt:lpstr>Miles</vt:lpstr>
      <vt:lpstr>Customers</vt:lpstr>
      <vt:lpstr>Vendors</vt:lpstr>
      <vt:lpstr>Schedule C (P&amp;L)</vt:lpstr>
      <vt:lpstr>Cost of Goods Sold</vt:lpstr>
      <vt:lpstr>Schedule SE</vt:lpstr>
      <vt:lpstr>IRS Mileage</vt:lpstr>
      <vt:lpstr>Forecast Year 1</vt:lpstr>
      <vt:lpstr>Forecast Year 2</vt:lpstr>
      <vt:lpstr>Forecast Year 3</vt:lpstr>
      <vt:lpstr>Amortization Schedule</vt:lpstr>
      <vt:lpstr>Classifications</vt:lpstr>
      <vt:lpstr>InventoryMethod</vt:lpstr>
      <vt:lpstr>InvetoryMethod</vt:lpstr>
      <vt:lpstr>List</vt:lpstr>
      <vt:lpstr>Loan_Amount</vt:lpstr>
      <vt:lpstr>Loan_Term</vt:lpstr>
      <vt:lpstr>LoanAmount</vt:lpstr>
      <vt:lpstr>Payment</vt:lpstr>
      <vt:lpstr>Periods</vt:lpstr>
      <vt:lpstr>Rate</vt:lpstr>
      <vt:lpstr>Total_Cost</vt:lpstr>
      <vt:lpstr>Total_Interest</vt:lpstr>
      <vt:lpstr>Total_Principal</vt:lpstr>
      <vt:lpstr>YesNo</vt:lpstr>
      <vt:lpstr>YesNo?</vt:lpstr>
    </vt:vector>
  </TitlesOfParts>
  <Company>SC SBDC Aiken Area Center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 SBDC Excel</dc:title>
  <dc:subject>Cash Flow &amp; Records Workbook</dc:subject>
  <dc:creator>Brent Hoover</dc:creator>
  <dc:description>Created by Brent Hoover</dc:description>
  <cp:lastModifiedBy>ADMIN</cp:lastModifiedBy>
  <cp:lastPrinted>2019-06-24T19:24:02Z</cp:lastPrinted>
  <dcterms:created xsi:type="dcterms:W3CDTF">2010-04-11T15:50:05Z</dcterms:created>
  <dcterms:modified xsi:type="dcterms:W3CDTF">2021-03-13T15:04:29Z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TC100738799990</vt:lpwstr>
  </property>
  <property fmtid="{D5CDD505-2E9C-101B-9397-08002B2CF9AE}" pid="3" name="ContentTypeId">
    <vt:lpwstr>0x010100202C920734749747B2EE4B4BD47CCE72</vt:lpwstr>
  </property>
</Properties>
</file>